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updateLinks="never" defaultThemeVersion="124226"/>
  <mc:AlternateContent xmlns:mc="http://schemas.openxmlformats.org/markup-compatibility/2006">
    <mc:Choice Requires="x15">
      <x15ac:absPath xmlns:x15ac="http://schemas.microsoft.com/office/spreadsheetml/2010/11/ac" url="\\ssbf2\jasso$\1-①Jasso\2024年度（作成中）\tobox\⑤告知・HPの依頼\2024定期採用\HP添付書類\"/>
    </mc:Choice>
  </mc:AlternateContent>
  <xr:revisionPtr revIDLastSave="0" documentId="8_{C2906377-D365-4840-8F7A-D0DF125F08FC}" xr6:coauthVersionLast="36" xr6:coauthVersionMax="36" xr10:uidLastSave="{00000000-0000-0000-0000-000000000000}"/>
  <workbookProtection workbookAlgorithmName="SHA-512" workbookHashValue="kHltFEvlGocKTIQMLOxyXEWdcztlyxGXD1TijyahvIOp5QkbCW0np+VE/i2k5WzRiDW9CjFFChGIdrVDjJowxw==" workbookSaltValue="p+FKk624UZEW7fJEeJ/o3A==" workbookSpinCount="100000" lockStructure="1"/>
  <bookViews>
    <workbookView xWindow="0" yWindow="0" windowWidth="20490" windowHeight="7335" xr2:uid="{00000000-000D-0000-FFFF-FFFF0000000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 name="_xlnm.Print_Area" localSheetId="5">計算シート!$A:$D</definedName>
  </definedNames>
  <calcPr calcId="191029"/>
</workbook>
</file>

<file path=xl/calcChain.xml><?xml version="1.0" encoding="utf-8"?>
<calcChain xmlns="http://schemas.openxmlformats.org/spreadsheetml/2006/main">
  <c r="O74" i="2" l="1"/>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V14" i="2" l="1"/>
  <c r="D59" i="3" l="1"/>
  <c r="A2" i="17" l="1"/>
  <c r="DE2" i="17"/>
  <c r="EO2" i="17"/>
  <c r="T2" i="17"/>
  <c r="EH2" i="17"/>
  <c r="EJ2" i="17"/>
  <c r="F2" i="17"/>
  <c r="DG2" i="17"/>
  <c r="EP2" i="17"/>
  <c r="EF2" i="17"/>
  <c r="K2" i="17"/>
  <c r="EE2" i="17"/>
  <c r="AD2" i="17"/>
  <c r="EN2" i="17"/>
  <c r="I2" i="17"/>
  <c r="L2" i="17"/>
  <c r="E2" i="17"/>
  <c r="EI2" i="17"/>
  <c r="N2" i="17"/>
  <c r="DF2" i="17"/>
  <c r="O2" i="17"/>
  <c r="R2" i="17"/>
  <c r="EM2" i="17"/>
  <c r="EG2" i="17"/>
  <c r="EC2" i="17"/>
  <c r="J2" i="17"/>
  <c r="U2" i="17"/>
  <c r="M2" i="17"/>
  <c r="ED2" i="17"/>
  <c r="W2" i="17"/>
  <c r="A37" i="1" l="1"/>
  <c r="I23" i="1" l="1"/>
  <c r="G11" i="1" l="1"/>
  <c r="E11" i="1"/>
  <c r="B12" i="1"/>
  <c r="B11" i="1"/>
  <c r="B5" i="1"/>
  <c r="D19" i="13" l="1"/>
  <c r="D19" i="11"/>
  <c r="D19" i="1"/>
  <c r="C55" i="3" s="1"/>
  <c r="CJ2" i="17"/>
  <c r="I2" i="1" l="1"/>
  <c r="C44" i="3" l="1"/>
  <c r="BY2" i="17"/>
  <c r="C48" i="3" l="1"/>
  <c r="C47" i="3"/>
  <c r="CB2" i="17"/>
  <c r="CC2" i="17"/>
  <c r="C43" i="3" l="1"/>
  <c r="C6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45" i="3"/>
  <c r="BZ2" i="17"/>
  <c r="CE2" i="17"/>
  <c r="F8" i="3" l="1"/>
  <c r="D22" i="3"/>
  <c r="B22" i="3"/>
  <c r="F10" i="3"/>
  <c r="B36" i="11"/>
  <c r="C22" i="3"/>
  <c r="F9" i="3"/>
  <c r="B25" i="3"/>
  <c r="C46" i="3"/>
  <c r="B15" i="1" s="1"/>
  <c r="V2" i="17"/>
  <c r="BC2" i="17"/>
  <c r="CA2" i="17"/>
  <c r="DH2" i="17"/>
  <c r="Y2" i="17"/>
  <c r="C2" i="3" l="1"/>
  <c r="C49" i="3"/>
  <c r="B15" i="11" s="1"/>
  <c r="L46" i="13"/>
  <c r="D2" i="3"/>
  <c r="B16" i="1"/>
  <c r="B2" i="3"/>
  <c r="B26" i="3" s="1"/>
  <c r="L46" i="11"/>
  <c r="C54" i="3"/>
  <c r="B65" i="1"/>
  <c r="B64" i="1"/>
  <c r="C53" i="3"/>
  <c r="D7" i="3"/>
  <c r="I25" i="1"/>
  <c r="CH2" i="17"/>
  <c r="AI2" i="17"/>
  <c r="CS2" i="17"/>
  <c r="CI2" i="17"/>
  <c r="B2" i="17"/>
  <c r="CN2" i="17"/>
  <c r="CD2" i="17"/>
  <c r="Z2" i="17"/>
  <c r="D3" i="3" l="1"/>
  <c r="D5" i="3"/>
  <c r="D6" i="3" s="1"/>
  <c r="B7" i="3"/>
  <c r="B16" i="11"/>
  <c r="C3" i="3"/>
  <c r="B15" i="13"/>
  <c r="C7" i="3"/>
  <c r="B16" i="13"/>
  <c r="C5" i="3"/>
  <c r="B3" i="3"/>
  <c r="B4" i="3" s="1"/>
  <c r="C56" i="3"/>
  <c r="D26" i="3"/>
  <c r="I26" i="1"/>
  <c r="G2" i="17"/>
  <c r="CK2" i="17"/>
  <c r="AJ2" i="17"/>
  <c r="CQ2" i="17"/>
  <c r="AN2" i="17"/>
  <c r="CR2" i="17"/>
  <c r="D2" i="17"/>
  <c r="CO2" i="17"/>
  <c r="AL2" i="17"/>
  <c r="DL2" i="17"/>
  <c r="C2" i="17"/>
  <c r="C6" i="3" l="1"/>
  <c r="I24" i="1"/>
  <c r="AM2" i="17"/>
  <c r="H29" i="1" l="1"/>
  <c r="H46" i="1" s="1"/>
  <c r="D42" i="3"/>
  <c r="H73" i="1" s="1"/>
  <c r="D1" i="3"/>
  <c r="C9" i="3"/>
  <c r="EB2" i="17"/>
  <c r="AP2" i="17"/>
  <c r="D9" i="3" l="1"/>
  <c r="D41" i="3"/>
  <c r="H38" i="1"/>
  <c r="H30" i="1"/>
  <c r="B17" i="3"/>
  <c r="B16" i="3"/>
  <c r="E27" i="1"/>
  <c r="E25" i="1"/>
  <c r="P2" i="17"/>
  <c r="CU2" i="17"/>
  <c r="EA2" i="17"/>
  <c r="Q2" i="17"/>
  <c r="B24" i="3" l="1"/>
  <c r="B8" i="3"/>
  <c r="B19" i="3" s="1"/>
  <c r="C42" i="3"/>
  <c r="D73" i="1" s="1"/>
  <c r="I42" i="1"/>
  <c r="I44" i="1"/>
  <c r="E44" i="1"/>
  <c r="E42" i="1"/>
  <c r="D15" i="3"/>
  <c r="D14" i="3"/>
  <c r="C15" i="3"/>
  <c r="C14" i="3"/>
  <c r="AU2" i="17"/>
  <c r="BW2" i="17"/>
  <c r="X2" i="17"/>
  <c r="AV2" i="17"/>
  <c r="H2" i="17"/>
  <c r="DA2" i="17"/>
  <c r="CZ2" i="17"/>
  <c r="D37" i="3" l="1"/>
  <c r="D13" i="3" s="1"/>
  <c r="D36" i="3"/>
  <c r="D35" i="3"/>
  <c r="C37" i="3"/>
  <c r="C36" i="3"/>
  <c r="C35" i="3"/>
  <c r="B34" i="3"/>
  <c r="D24" i="3"/>
  <c r="I40" i="1"/>
  <c r="E40" i="1"/>
  <c r="BR2" i="17"/>
  <c r="S2" i="17"/>
  <c r="DJ2" i="17"/>
  <c r="BQ2" i="17"/>
  <c r="DV2" i="17"/>
  <c r="AH2" i="17"/>
  <c r="DU2" i="17"/>
  <c r="CY2" i="17"/>
  <c r="DW2" i="17"/>
  <c r="BP2" i="17"/>
  <c r="C61" i="3" l="1"/>
  <c r="B31" i="3"/>
  <c r="D70" i="1"/>
  <c r="B27" i="3"/>
  <c r="C24" i="3"/>
  <c r="D38" i="3"/>
  <c r="D40" i="3"/>
  <c r="C38" i="3"/>
  <c r="C40" i="3"/>
  <c r="C13" i="3"/>
  <c r="D12" i="3"/>
  <c r="C12" i="3"/>
  <c r="BU2" i="17"/>
  <c r="BE2" i="17"/>
  <c r="CX2" i="17"/>
  <c r="DZ2" i="17"/>
  <c r="AA2" i="17"/>
  <c r="AS2" i="17"/>
  <c r="BS2" i="17"/>
  <c r="DX2" i="17"/>
  <c r="AE2" i="17"/>
  <c r="AT2" i="17"/>
  <c r="K71" i="1" l="1"/>
  <c r="EU2" i="17"/>
  <c r="C39" i="3"/>
  <c r="C51" i="3" s="1"/>
  <c r="C4" i="3" s="1"/>
  <c r="D39" i="3"/>
  <c r="D51" i="3" s="1"/>
  <c r="D4" i="3" s="1"/>
  <c r="B28" i="3"/>
  <c r="B29" i="3" s="1"/>
  <c r="C41" i="3"/>
  <c r="BT2" i="17"/>
  <c r="AC2" i="17"/>
  <c r="DY2" i="17"/>
  <c r="BV2" i="17"/>
  <c r="EK2" i="17"/>
  <c r="CF2" i="17"/>
  <c r="AB2" i="17"/>
  <c r="B32" i="3" l="1"/>
  <c r="D52" i="3"/>
  <c r="C52" i="3"/>
  <c r="AF2" i="17"/>
  <c r="CP2" i="17"/>
  <c r="AK2" i="17"/>
  <c r="B33" i="3" l="1"/>
  <c r="D8" i="3"/>
  <c r="CG2" i="17"/>
  <c r="CT2" i="17"/>
  <c r="AG2" i="17"/>
  <c r="EL2" i="17"/>
  <c r="C8" i="3" l="1"/>
  <c r="AO2" i="17"/>
  <c r="D10" i="3" l="1"/>
  <c r="D11" i="3" s="1"/>
  <c r="C21" i="3"/>
  <c r="C20" i="3"/>
  <c r="C10" i="3"/>
  <c r="C19" i="3"/>
  <c r="AZ2" i="17"/>
  <c r="AQ2" i="17"/>
  <c r="BB2" i="17"/>
  <c r="BA2" i="17"/>
  <c r="CV2" i="17"/>
  <c r="CW2" i="17"/>
  <c r="C30" i="3" l="1"/>
  <c r="C23" i="3"/>
  <c r="D30" i="3"/>
  <c r="C16" i="3"/>
  <c r="C62" i="3"/>
  <c r="D16" i="3"/>
  <c r="C18" i="3"/>
  <c r="C17" i="3"/>
  <c r="D23" i="3"/>
  <c r="D25" i="3" s="1"/>
  <c r="D17" i="3"/>
  <c r="D18" i="3"/>
  <c r="C11" i="3"/>
  <c r="C26" i="3"/>
  <c r="C25" i="3"/>
  <c r="DB2" i="17"/>
  <c r="DC2" i="17"/>
  <c r="AW2" i="17"/>
  <c r="DK2" i="17"/>
  <c r="BK2" i="17"/>
  <c r="DP2" i="17"/>
  <c r="BG2" i="17"/>
  <c r="DI2" i="17"/>
  <c r="BF2" i="17"/>
  <c r="AX2" i="17"/>
  <c r="AR2" i="17"/>
  <c r="AY2" i="17"/>
  <c r="DD2" i="17"/>
  <c r="BD2" i="17"/>
  <c r="C31" i="3" l="1"/>
  <c r="C27" i="3"/>
  <c r="C28" i="3" s="1"/>
  <c r="D27" i="3"/>
  <c r="D28" i="3" s="1"/>
  <c r="D31" i="3"/>
  <c r="K73" i="1"/>
  <c r="EV2" i="17"/>
  <c r="H72" i="1"/>
  <c r="ET2" i="17"/>
  <c r="D34" i="3"/>
  <c r="DQ2" i="17"/>
  <c r="DT2" i="17"/>
  <c r="BL2" i="17"/>
  <c r="BH2" i="17"/>
  <c r="BI2" i="17"/>
  <c r="DM2" i="17"/>
  <c r="DN2" i="17"/>
  <c r="C32" i="3" l="1"/>
  <c r="D32" i="3"/>
  <c r="C29" i="3"/>
  <c r="D29" i="3"/>
  <c r="DR2" i="17"/>
  <c r="BJ2" i="17"/>
  <c r="BM2" i="17"/>
  <c r="DO2" i="17"/>
  <c r="D33" i="3" l="1"/>
  <c r="C33" i="3"/>
  <c r="DS2" i="17"/>
  <c r="BN2" i="17"/>
  <c r="C34" i="3" l="1"/>
  <c r="BO2" i="17"/>
  <c r="D57" i="3" l="1"/>
  <c r="D58" i="3" s="1"/>
  <c r="C57" i="3"/>
  <c r="C59" i="3" s="1"/>
  <c r="EQ2" i="17"/>
  <c r="CL2" i="17"/>
  <c r="ER2" i="17"/>
  <c r="ES2" i="17" l="1"/>
  <c r="D72" i="1"/>
  <c r="C58" i="3"/>
  <c r="D71" i="1" s="1"/>
  <c r="H71" i="1"/>
  <c r="CM2" i="17"/>
</calcChain>
</file>

<file path=xl/sharedStrings.xml><?xml version="1.0" encoding="utf-8"?>
<sst xmlns="http://schemas.openxmlformats.org/spreadsheetml/2006/main" count="1985" uniqueCount="944">
  <si>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</si>
  <si>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</si>
  <si>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</si>
  <si>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</si>
  <si>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</si>
  <si>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</si>
  <si>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</si>
  <si>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</si>
  <si>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</si>
  <si>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</si>
  <si>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</si>
  <si>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</si>
  <si>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</si>
  <si>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</si>
  <si>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</si>
  <si>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</si>
  <si>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</si>
  <si>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</si>
  <si>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</si>
  <si>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</si>
  <si>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</si>
  <si>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</si>
  <si>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</si>
  <si>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</si>
  <si>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</si>
  <si>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</si>
  <si>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</si>
  <si>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</si>
  <si>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</si>
  <si>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</si>
  <si>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</si>
  <si>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</si>
  <si>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</si>
  <si>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</si>
  <si>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</si>
  <si>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</si>
  <si>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</si>
  <si>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</si>
  <si>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</si>
  <si>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</si>
  <si>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</si>
  <si>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</si>
  <si>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</si>
  <si>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</si>
  <si>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</si>
  <si>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</si>
  <si>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</si>
  <si>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</si>
  <si>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</si>
  <si>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</si>
  <si>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</si>
  <si>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</si>
  <si>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</si>
  <si>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</si>
  <si>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</si>
  <si>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</si>
  <si>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</si>
  <si>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</si>
  <si>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</si>
  <si>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</si>
  <si>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</si>
  <si>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</si>
  <si>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</si>
  <si>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</si>
  <si>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</si>
  <si>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</si>
  <si>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</si>
  <si>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</si>
  <si>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</si>
  <si>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</si>
  <si>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</si>
  <si>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</si>
  <si>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</si>
  <si>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</si>
  <si>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</si>
  <si>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</si>
  <si>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</si>
  <si>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</si>
  <si>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</si>
  <si>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</si>
  <si>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</si>
  <si>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</si>
  <si>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</si>
  <si>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</si>
  <si>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</si>
  <si>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</si>
  <si>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</si>
  <si>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</si>
  <si>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</si>
  <si>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</si>
  <si>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</si>
  <si>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</si>
  <si>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</si>
  <si>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</si>
  <si>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</si>
  <si>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</si>
  <si>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</si>
  <si>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</si>
  <si>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</si>
  <si>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</si>
  <si>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</si>
  <si>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</si>
  <si>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</si>
  <si>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</si>
  <si>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</si>
  <si>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</si>
  <si>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</si>
  <si>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</si>
  <si>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</si>
  <si>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</si>
  <si>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</si>
  <si>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</si>
  <si>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</si>
  <si>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</si>
  <si>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</si>
  <si>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</si>
  <si>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</si>
  <si>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</si>
  <si>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</si>
  <si>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</si>
  <si>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</si>
  <si>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</si>
  <si>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</si>
  <si>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</si>
  <si>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</si>
  <si>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</si>
  <si>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</si>
  <si>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</si>
  <si>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</si>
  <si>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</si>
  <si>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</si>
  <si>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</si>
  <si>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</si>
  <si>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</si>
  <si>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</si>
  <si>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</si>
  <si>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</si>
  <si>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</si>
  <si>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</si>
  <si>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</si>
  <si>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</si>
  <si>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</si>
  <si>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</si>
  <si>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</si>
  <si>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</si>
  <si>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</si>
  <si>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</si>
  <si>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</si>
  <si>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</si>
  <si>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</si>
  <si>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</si>
  <si>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</si>
  <si>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</si>
  <si>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</si>
  <si>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</si>
  <si>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</si>
  <si>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</si>
  <si>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</si>
  <si>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</si>
  <si>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</si>
  <si>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</si>
  <si>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</si>
  <si>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</si>
  <si>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</si>
  <si>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</si>
  <si>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</si>
  <si>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</si>
  <si>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</si>
  <si>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</si>
  <si>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</si>
  <si>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</si>
  <si>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</si>
  <si>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</si>
  <si>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</si>
  <si>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</si>
  <si>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</si>
  <si>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</si>
  <si>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</si>
  <si>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</si>
  <si>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</si>
  <si>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</si>
  <si>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</si>
  <si>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</si>
  <si>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</si>
  <si>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</si>
  <si>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</si>
  <si>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</si>
  <si>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</si>
  <si>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</si>
  <si>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</si>
  <si>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</si>
  <si>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</si>
  <si>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</si>
  <si>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</si>
  <si>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</si>
  <si>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</si>
  <si>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</si>
  <si>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</si>
  <si>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</si>
  <si>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</si>
  <si>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</si>
  <si>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</si>
  <si>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</si>
  <si>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</si>
  <si>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</si>
  <si>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</si>
  <si>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</si>
  <si>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</si>
  <si>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</si>
  <si>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</si>
  <si>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</si>
  <si>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</si>
  <si>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</si>
  <si>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</si>
  <si>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</si>
  <si>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</si>
  <si>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</si>
  <si>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</si>
  <si>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</si>
  <si>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</si>
  <si>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</si>
  <si>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</si>
  <si>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</si>
  <si>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</si>
  <si>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</si>
  <si>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</si>
  <si>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</si>
  <si>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</si>
  <si>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</si>
  <si>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</si>
  <si>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</si>
  <si>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</si>
  <si>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</si>
  <si>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</si>
  <si>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</si>
  <si>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</si>
  <si>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</si>
  <si>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</si>
  <si>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</si>
  <si>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</si>
  <si>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</si>
  <si>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</si>
  <si>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</si>
  <si>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</si>
  <si>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</si>
  <si>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</si>
  <si>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</si>
  <si>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</si>
  <si>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</si>
  <si>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</si>
  <si>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</si>
  <si>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</si>
  <si>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</si>
  <si>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</si>
  <si>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</si>
  <si>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</si>
  <si>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</si>
  <si>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</si>
  <si>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</si>
  <si>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</si>
  <si>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</si>
  <si>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</si>
  <si>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</si>
  <si>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</si>
  <si>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</si>
  <si>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</si>
  <si>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</si>
  <si>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</si>
  <si>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</si>
  <si>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</si>
  <si>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</si>
  <si>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</si>
  <si>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</si>
  <si>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</si>
  <si>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</si>
  <si>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</si>
  <si>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</si>
  <si>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</si>
  <si>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</si>
  <si>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</si>
  <si>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</si>
  <si>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</si>
  <si>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</si>
  <si>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</si>
  <si>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</si>
  <si>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</si>
  <si>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</si>
  <si>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</si>
  <si>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</si>
  <si>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</si>
  <si>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</si>
  <si>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</si>
  <si>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</si>
  <si>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</si>
  <si>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</si>
  <si>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</si>
  <si>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</si>
  <si>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</si>
  <si>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</si>
  <si>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</si>
  <si>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</si>
  <si>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</si>
  <si>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</si>
  <si>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</si>
  <si>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</si>
  <si>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</si>
  <si>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</si>
  <si>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</si>
  <si>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</si>
  <si>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</si>
  <si>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</si>
  <si>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</si>
  <si>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</si>
  <si>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</si>
  <si>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</si>
  <si>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</si>
  <si>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</si>
  <si>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</si>
  <si>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</si>
  <si>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</si>
  <si>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</si>
  <si>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</si>
  <si>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</si>
  <si>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</si>
  <si>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</si>
  <si>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</si>
  <si>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</si>
  <si>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</si>
  <si>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</si>
  <si>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</si>
  <si>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</si>
  <si>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</si>
  <si>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</si>
  <si>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</si>
  <si>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</si>
  <si>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</si>
  <si>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</si>
  <si>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</si>
  <si>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</si>
  <si>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</si>
  <si>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</si>
  <si>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</si>
  <si>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</si>
  <si>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</si>
  <si>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</si>
  <si>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</si>
  <si>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</si>
  <si>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</si>
  <si>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</si>
  <si>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</si>
  <si>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</si>
  <si>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</si>
  <si>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</si>
  <si>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</si>
  <si>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</si>
  <si>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</si>
  <si>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</si>
  <si>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</si>
  <si>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</si>
  <si>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</si>
  <si>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</si>
  <si>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</si>
  <si>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</si>
  <si>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</si>
  <si>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</si>
  <si>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</si>
  <si>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</si>
  <si>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</si>
  <si>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</si>
  <si>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</si>
  <si>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</si>
  <si>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</si>
  <si>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</si>
  <si>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</si>
  <si>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</si>
  <si>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</si>
  <si>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</si>
  <si>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</si>
  <si>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</si>
  <si>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</si>
  <si>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</si>
  <si>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</si>
  <si>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</si>
  <si>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</si>
  <si>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</si>
  <si>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</si>
  <si>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</si>
  <si>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</si>
  <si>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</si>
  <si>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</si>
  <si>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</si>
  <si>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</si>
  <si>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</si>
  <si>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</si>
  <si>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</si>
  <si>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</si>
  <si>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</si>
  <si>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</si>
  <si>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</si>
  <si>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</si>
  <si>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</si>
  <si>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</si>
  <si>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</si>
  <si>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</si>
  <si>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</si>
  <si>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</si>
  <si>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</si>
  <si>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</si>
  <si>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</si>
  <si>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</si>
  <si>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</si>
  <si>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</si>
  <si>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</si>
  <si>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</si>
  <si>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</si>
  <si>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</si>
  <si>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</si>
  <si>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</si>
  <si>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</si>
  <si>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</si>
  <si>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</si>
  <si>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</si>
  <si>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</si>
  <si>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</si>
  <si>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</si>
  <si>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</si>
  <si>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</si>
  <si>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</si>
  <si>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</si>
  <si>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</si>
  <si>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</si>
  <si>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</si>
  <si>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</si>
  <si>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</si>
  <si>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</si>
  <si>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</si>
  <si>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</si>
  <si>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</si>
  <si>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</si>
  <si>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</si>
  <si>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</si>
  <si>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</si>
  <si>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</si>
  <si>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</si>
  <si>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</si>
  <si>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</si>
  <si>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</si>
  <si>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</si>
  <si>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</si>
  <si>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</si>
  <si>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</si>
  <si>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</si>
  <si>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</si>
  <si>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</si>
  <si>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</si>
  <si>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</si>
  <si>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</si>
  <si>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</si>
  <si>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</si>
  <si>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</si>
  <si>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</si>
  <si>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</si>
  <si>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</si>
  <si>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</si>
  <si>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</si>
  <si>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</si>
  <si>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</si>
  <si>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</si>
  <si>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</si>
  <si>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</si>
  <si>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</si>
  <si>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</si>
  <si>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</si>
  <si>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</si>
  <si>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</si>
  <si>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</si>
  <si>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</si>
  <si>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</si>
  <si>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</si>
  <si>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</si>
  <si>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</si>
  <si>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</si>
  <si>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</si>
  <si>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</si>
  <si>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</si>
  <si>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</si>
  <si>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</si>
  <si>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</si>
  <si>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</si>
  <si>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</si>
  <si>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</si>
  <si>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</si>
  <si>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</si>
  <si>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</si>
  <si>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</si>
  <si>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</si>
  <si>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</si>
  <si>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</si>
  <si>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</si>
  <si>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</si>
  <si>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</si>
  <si>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</si>
  <si>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</si>
  <si>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</si>
  <si>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</si>
  <si>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</si>
  <si>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</si>
  <si>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</si>
  <si>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</si>
  <si>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</si>
  <si>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</si>
  <si>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</si>
  <si>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</si>
  <si>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</si>
  <si>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</si>
  <si>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</si>
  <si>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</si>
  <si>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</si>
  <si>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</si>
  <si>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</si>
  <si>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</si>
  <si>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</si>
  <si>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</si>
  <si>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</si>
  <si>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</si>
  <si>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</si>
  <si>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</si>
  <si>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</si>
  <si>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</si>
  <si>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</si>
  <si>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</si>
  <si>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</si>
  <si>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</si>
  <si>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</si>
  <si>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</si>
  <si>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</si>
  <si>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</si>
  <si>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</si>
  <si>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</si>
  <si>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</si>
  <si>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</si>
  <si>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</si>
  <si>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</si>
  <si>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</si>
  <si>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</si>
  <si>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</si>
  <si>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</si>
  <si>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</si>
  <si>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</si>
  <si>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</si>
  <si>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</si>
  <si>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</si>
  <si>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</si>
  <si>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</si>
  <si>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</si>
  <si>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</si>
  <si>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</si>
  <si>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</si>
  <si>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</si>
  <si>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</si>
  <si>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</si>
  <si>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</si>
  <si>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</si>
  <si>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</si>
  <si>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</si>
  <si>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</si>
  <si>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</si>
  <si>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</si>
  <si>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</si>
  <si>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</si>
  <si>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</si>
  <si>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</si>
  <si>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</si>
  <si>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</si>
  <si>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</si>
  <si>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</si>
  <si>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</si>
  <si>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</si>
  <si>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</si>
  <si>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</si>
  <si>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</si>
  <si>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</si>
  <si>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</si>
  <si>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</si>
  <si>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</si>
  <si>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</si>
  <si>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</si>
  <si>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</si>
  <si>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</si>
  <si>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</si>
  <si>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</si>
  <si>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</si>
  <si>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</si>
  <si>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</si>
  <si>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</si>
  <si>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</si>
  <si>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</si>
  <si>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</si>
  <si>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</si>
  <si>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</si>
  <si>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</si>
  <si>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</si>
  <si>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</si>
  <si>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</si>
  <si>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</si>
  <si>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</si>
  <si>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</si>
  <si>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</si>
  <si>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</si>
  <si>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</si>
  <si>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</si>
  <si>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</si>
  <si>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</si>
  <si>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</si>
  <si>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</si>
  <si>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</si>
  <si>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</si>
  <si>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</si>
  <si>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</si>
  <si>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</si>
  <si>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</si>
  <si>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</si>
  <si>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</si>
  <si>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</si>
  <si>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</si>
  <si>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</si>
  <si>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</si>
  <si>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</si>
  <si>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</si>
  <si>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</si>
  <si>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</si>
  <si>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</si>
  <si>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</si>
  <si>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</si>
  <si>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</si>
  <si>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</si>
  <si>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</si>
  <si>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</si>
  <si>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</si>
  <si>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</si>
  <si>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</si>
  <si>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</si>
  <si>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</si>
  <si>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</si>
  <si>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</si>
  <si>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</si>
  <si>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</si>
  <si>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</si>
  <si>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</si>
  <si>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</si>
  <si>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</si>
  <si>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</si>
  <si>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</si>
  <si>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</si>
  <si>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</si>
  <si>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</si>
  <si>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</si>
  <si>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</si>
  <si>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</si>
  <si>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</si>
  <si>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</si>
  <si>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</si>
  <si>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</si>
  <si>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</si>
  <si>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</si>
  <si>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</si>
  <si>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</si>
  <si>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</si>
  <si>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</si>
  <si>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</si>
  <si>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</si>
  <si>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</si>
  <si>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</si>
  <si>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</si>
  <si>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</si>
  <si>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</si>
  <si>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</si>
  <si>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</si>
  <si>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</si>
  <si>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</si>
  <si>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</si>
  <si>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</si>
  <si>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</si>
  <si>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</si>
  <si>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</si>
  <si>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</si>
  <si>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</si>
  <si>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</si>
  <si>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</si>
  <si>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</si>
  <si>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</si>
  <si>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</si>
  <si>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</si>
  <si>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</si>
  <si>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</si>
  <si>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</si>
  <si>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</si>
  <si>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</si>
  <si>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</si>
  <si>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</si>
  <si>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</si>
  <si>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</si>
  <si>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</si>
  <si>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</si>
  <si>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</si>
  <si>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</si>
  <si>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</si>
  <si>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</si>
  <si>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</si>
  <si>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</si>
  <si>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</si>
  <si>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</si>
  <si>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</si>
  <si>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</si>
  <si>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</si>
  <si>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</si>
  <si>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</si>
  <si>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</si>
  <si>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</si>
  <si>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</si>
  <si>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</si>
  <si>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</si>
  <si>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</si>
  <si>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</si>
  <si>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</si>
  <si>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</si>
  <si>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</si>
  <si>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</si>
  <si>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</si>
  <si>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</si>
  <si>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</si>
  <si>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</si>
  <si>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</si>
  <si>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</si>
  <si>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</si>
  <si>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</si>
  <si>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</si>
  <si>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</si>
  <si>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</si>
  <si>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</si>
  <si>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</si>
  <si>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</si>
  <si>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</si>
  <si>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</si>
  <si>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</si>
  <si>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</si>
  <si>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</si>
  <si>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</si>
  <si>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</si>
  <si>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</si>
  <si>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</si>
  <si>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</si>
  <si>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</si>
  <si>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</si>
  <si>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</si>
  <si>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</si>
  <si>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</si>
  <si>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</si>
  <si>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</si>
  <si>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</si>
  <si>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</si>
  <si>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</si>
  <si>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</si>
  <si>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</si>
  <si>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</si>
  <si>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</si>
  <si>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</si>
  <si>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</si>
  <si>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</si>
  <si>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</si>
  <si>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</si>
  <si>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</si>
  <si>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</si>
  <si>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</si>
  <si>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</si>
  <si>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</si>
  <si>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</si>
  <si>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</si>
  <si>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</si>
  <si>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</si>
  <si>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</si>
  <si>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</si>
  <si>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</si>
  <si>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</si>
  <si>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</si>
  <si>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</si>
  <si>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</si>
  <si>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</si>
  <si>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</si>
  <si>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</si>
  <si>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</si>
  <si>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</si>
  <si>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</si>
  <si>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</si>
  <si>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</si>
  <si>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</si>
  <si>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</si>
  <si>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</si>
  <si>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</si>
  <si>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</si>
  <si>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</si>
  <si>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</si>
  <si>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</si>
  <si>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</si>
  <si>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</si>
  <si>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</si>
  <si>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</si>
  <si>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</si>
  <si>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</si>
  <si>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</si>
  <si>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</si>
  <si>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</si>
  <si>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</si>
  <si>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</si>
  <si>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</si>
  <si>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</si>
  <si>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</si>
  <si>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</si>
  <si>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</si>
  <si>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</si>
  <si>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</si>
  <si>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</si>
  <si>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</si>
  <si>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</si>
  <si>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</si>
  <si>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</si>
  <si>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</si>
  <si>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</si>
  <si>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</si>
  <si>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</si>
  <si>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</si>
  <si>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</si>
  <si>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</si>
  <si>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</si>
  <si>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</si>
  <si>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</si>
  <si>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</si>
  <si>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</si>
  <si>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</si>
  <si>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</si>
  <si>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</si>
  <si>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</si>
  <si>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</si>
  <si>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</si>
  <si>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</si>
  <si>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</si>
  <si>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</si>
  <si>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</si>
  <si>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</si>
  <si>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</si>
  <si>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</si>
  <si>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</si>
  <si>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</si>
  <si>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</si>
  <si>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</si>
  <si>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</si>
  <si>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</si>
  <si>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</si>
  <si>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</si>
  <si>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</si>
  <si>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報告省令レート（令和４年１月分）</t>
    <rPh sb="8" eb="10">
      <t>レイワ</t>
    </rPh>
    <rPh sb="11" eb="12">
      <t>ネン</t>
    </rPh>
    <rPh sb="13" eb="14">
      <t>ガツ</t>
    </rPh>
    <phoneticPr fontId="4"/>
  </si>
  <si>
    <t xml:space="preserve"> [令和４年１月中において適用]</t>
    <rPh sb="2" eb="4">
      <t>レイワ</t>
    </rPh>
    <rPh sb="8" eb="9">
      <t>チュウ</t>
    </rPh>
    <phoneticPr fontId="4"/>
  </si>
  <si>
    <t>0.320</t>
  </si>
  <si>
    <t>0.730</t>
  </si>
  <si>
    <t>3.60</t>
  </si>
  <si>
    <t>0.180</t>
  </si>
  <si>
    <t>0.230</t>
  </si>
  <si>
    <t>（令和3年11月中における実勢相場の平均値）</t>
    <rPh sb="1" eb="3">
      <t>レイワ</t>
    </rPh>
    <phoneticPr fontId="4"/>
  </si>
  <si>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</si>
  <si>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</si>
  <si>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</si>
  <si>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</si>
  <si>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</si>
  <si>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</si>
  <si>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</si>
  <si>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</si>
  <si>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</si>
  <si>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</si>
  <si>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</si>
  <si>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</si>
  <si>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</si>
  <si>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</si>
  <si>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</si>
  <si>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</si>
  <si>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</si>
  <si>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</si>
  <si>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</si>
  <si>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</si>
  <si>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</si>
  <si>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</si>
  <si>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</si>
  <si>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</si>
  <si>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</si>
  <si>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</si>
  <si>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</si>
  <si>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</si>
  <si>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</si>
  <si>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</si>
  <si>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</si>
  <si>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</si>
  <si>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</si>
  <si>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</si>
  <si>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</si>
  <si>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</si>
  <si>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</si>
  <si>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</si>
  <si>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</si>
  <si>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</si>
  <si>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</si>
  <si>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</si>
  <si>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</si>
  <si>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</si>
  <si>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</si>
  <si>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</si>
  <si>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</si>
  <si>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</si>
  <si>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</si>
  <si>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</si>
  <si>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</si>
  <si>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</si>
  <si>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</si>
  <si>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</si>
  <si>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</si>
  <si>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</si>
  <si>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</si>
  <si>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</si>
  <si>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</si>
  <si>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</si>
  <si>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</si>
  <si>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</si>
  <si>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</si>
  <si>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</si>
  <si>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</si>
  <si>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</si>
  <si>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</si>
  <si>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</si>
  <si>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</si>
  <si>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</si>
  <si>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</si>
  <si>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</si>
  <si>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</si>
  <si>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</si>
  <si>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0.00701</t>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</si>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</sst>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47">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21" fillId="0" borderId="12" xfId="0" applyFont="1" applyBorder="1"/>
    <xf numFmtId="0" fontId="22" fillId="0" borderId="41" xfId="0" applyFont="1" applyBorder="1"/>
    <xf numFmtId="0" fontId="23"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18" fillId="0" borderId="6" xfId="0" applyFont="1" applyBorder="1" applyAlignment="1">
      <alignment horizontal="right"/>
    </xf>
    <xf numFmtId="0" fontId="26"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7"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5"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8"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9"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0"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1"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1"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9"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2"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0"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0" fillId="0" borderId="57" xfId="0" applyFont="1" applyFill="1" applyBorder="1" applyAlignment="1">
      <alignment vertical="center"/>
    </xf>
    <xf numFmtId="0" fontId="29" fillId="0" borderId="1" xfId="0" applyFont="1" applyFill="1" applyBorder="1" applyAlignment="1">
      <alignment vertical="center"/>
    </xf>
    <xf numFmtId="0" fontId="30"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6"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5"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1" fillId="2" borderId="0" xfId="0" applyFont="1" applyFill="1" applyBorder="1" applyAlignment="1">
      <alignment horizontal="center" vertical="center" shrinkToFit="1"/>
    </xf>
    <xf numFmtId="0" fontId="9" fillId="0" borderId="15" xfId="0" applyFont="1" applyBorder="1" applyAlignment="1">
      <alignment vertical="center"/>
    </xf>
    <xf numFmtId="0" fontId="29" fillId="2" borderId="31" xfId="0" quotePrefix="1" applyFont="1" applyFill="1" applyBorder="1" applyAlignment="1">
      <alignment horizontal="right" vertical="center"/>
    </xf>
    <xf numFmtId="0" fontId="9" fillId="0" borderId="14" xfId="0" applyFont="1" applyBorder="1" applyAlignment="1">
      <alignment vertical="center"/>
    </xf>
    <xf numFmtId="0" fontId="29"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0"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0" fillId="0" borderId="46" xfId="0" applyFont="1" applyBorder="1" applyAlignment="1">
      <alignment horizontal="center" vertical="center"/>
    </xf>
    <xf numFmtId="0" fontId="32"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4" fillId="0" borderId="12" xfId="0" applyFont="1" applyBorder="1"/>
    <xf numFmtId="0" fontId="36" fillId="0" borderId="41" xfId="0" applyFont="1" applyBorder="1"/>
    <xf numFmtId="0" fontId="32" fillId="0" borderId="0" xfId="0" applyFont="1"/>
    <xf numFmtId="0" fontId="27" fillId="0" borderId="0" xfId="0" applyFont="1"/>
    <xf numFmtId="0" fontId="27" fillId="0" borderId="0" xfId="0" applyFont="1" applyFill="1"/>
    <xf numFmtId="0" fontId="9" fillId="0" borderId="0" xfId="0" applyFont="1" applyFill="1"/>
    <xf numFmtId="0" fontId="27" fillId="0" borderId="0" xfId="0" applyFont="1" applyBorder="1"/>
    <xf numFmtId="0" fontId="9" fillId="0" borderId="55" xfId="0" applyFont="1" applyBorder="1"/>
    <xf numFmtId="0" fontId="30" fillId="0" borderId="0" xfId="0" applyFont="1"/>
    <xf numFmtId="0" fontId="32" fillId="0" borderId="47" xfId="0" applyFont="1" applyBorder="1"/>
    <xf numFmtId="0" fontId="27" fillId="0" borderId="48" xfId="0" applyFont="1" applyBorder="1"/>
    <xf numFmtId="177" fontId="27" fillId="0" borderId="48" xfId="0" applyNumberFormat="1" applyFont="1" applyBorder="1" applyAlignment="1">
      <alignment horizontal="right"/>
    </xf>
    <xf numFmtId="0" fontId="27" fillId="0" borderId="51" xfId="0" applyFont="1" applyBorder="1"/>
    <xf numFmtId="0" fontId="38" fillId="0" borderId="0" xfId="0" applyFont="1"/>
    <xf numFmtId="0" fontId="27" fillId="0" borderId="7" xfId="0" applyFont="1" applyBorder="1" applyAlignment="1">
      <alignment vertical="center"/>
    </xf>
    <xf numFmtId="0" fontId="27" fillId="0" borderId="8" xfId="0" applyFont="1" applyBorder="1" applyAlignment="1">
      <alignment vertical="center"/>
    </xf>
    <xf numFmtId="177" fontId="27" fillId="0" borderId="8" xfId="0" applyNumberFormat="1" applyFont="1" applyBorder="1" applyAlignment="1">
      <alignment horizontal="right" vertical="center"/>
    </xf>
    <xf numFmtId="0" fontId="27" fillId="0" borderId="50" xfId="0" applyFont="1" applyBorder="1"/>
    <xf numFmtId="0" fontId="27" fillId="0" borderId="8" xfId="0" applyFont="1" applyBorder="1"/>
    <xf numFmtId="0" fontId="27" fillId="0" borderId="9" xfId="0" applyFont="1" applyBorder="1"/>
    <xf numFmtId="0" fontId="27" fillId="0" borderId="47" xfId="0" applyFont="1" applyFill="1" applyBorder="1" applyAlignment="1">
      <alignment vertical="center"/>
    </xf>
    <xf numFmtId="0" fontId="27" fillId="0" borderId="48" xfId="0" applyFont="1" applyFill="1" applyBorder="1" applyAlignment="1">
      <alignment vertical="center"/>
    </xf>
    <xf numFmtId="177" fontId="27" fillId="0" borderId="48" xfId="0" applyNumberFormat="1" applyFont="1" applyFill="1" applyBorder="1" applyAlignment="1">
      <alignment horizontal="right" vertical="center"/>
    </xf>
    <xf numFmtId="0" fontId="27" fillId="0" borderId="51" xfId="0" applyFont="1" applyFill="1" applyBorder="1"/>
    <xf numFmtId="0" fontId="27" fillId="0" borderId="48" xfId="0" applyFont="1" applyFill="1" applyBorder="1"/>
    <xf numFmtId="0" fontId="27" fillId="0" borderId="49" xfId="0" applyFont="1" applyFill="1" applyBorder="1"/>
    <xf numFmtId="0" fontId="27" fillId="0" borderId="7" xfId="0" applyFont="1" applyFill="1" applyBorder="1" applyAlignment="1">
      <alignment vertical="center"/>
    </xf>
    <xf numFmtId="0" fontId="27" fillId="0" borderId="8" xfId="0" applyFont="1" applyFill="1" applyBorder="1" applyAlignment="1">
      <alignment vertical="center"/>
    </xf>
    <xf numFmtId="177" fontId="27" fillId="0" borderId="8" xfId="0" applyNumberFormat="1" applyFont="1" applyFill="1" applyBorder="1" applyAlignment="1">
      <alignment horizontal="right" vertical="center"/>
    </xf>
    <xf numFmtId="0" fontId="27" fillId="0" borderId="50" xfId="0" applyFont="1" applyFill="1" applyBorder="1"/>
    <xf numFmtId="0" fontId="27" fillId="0" borderId="8" xfId="0" applyFont="1" applyFill="1" applyBorder="1"/>
    <xf numFmtId="0" fontId="27" fillId="0" borderId="9" xfId="0" applyFont="1" applyFill="1" applyBorder="1"/>
    <xf numFmtId="0" fontId="29"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5" fillId="0" borderId="5" xfId="0" applyFont="1" applyBorder="1" applyAlignment="1">
      <alignment vertical="top"/>
    </xf>
    <xf numFmtId="0" fontId="26" fillId="0" borderId="0" xfId="0" applyFont="1" applyAlignment="1">
      <alignment vertical="top"/>
    </xf>
    <xf numFmtId="0" fontId="27" fillId="0" borderId="0" xfId="0" applyFont="1" applyAlignment="1"/>
    <xf numFmtId="0" fontId="25"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7"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59" xfId="0" applyFill="1" applyBorder="1"/>
    <xf numFmtId="0" fontId="0" fillId="4" borderId="0" xfId="0" applyFill="1"/>
    <xf numFmtId="0" fontId="16" fillId="0" borderId="1" xfId="0" applyFont="1" applyBorder="1" applyAlignment="1">
      <alignment horizontal="right"/>
    </xf>
    <xf numFmtId="0" fontId="40" fillId="0" borderId="1" xfId="0" applyFont="1" applyBorder="1" applyAlignment="1">
      <alignment horizontal="center" vertical="center"/>
    </xf>
    <xf numFmtId="0" fontId="39" fillId="0" borderId="1" xfId="0" applyFont="1" applyBorder="1" applyAlignment="1">
      <alignment horizontal="center" vertical="center"/>
    </xf>
    <xf numFmtId="0" fontId="0" fillId="4" borderId="5" xfId="0" applyFill="1" applyBorder="1"/>
    <xf numFmtId="0" fontId="10" fillId="0" borderId="0" xfId="0" applyFont="1" applyFill="1"/>
    <xf numFmtId="177" fontId="10" fillId="0" borderId="1" xfId="0" applyNumberFormat="1" applyFont="1" applyBorder="1"/>
    <xf numFmtId="0" fontId="12" fillId="3" borderId="1" xfId="0" applyFont="1" applyFill="1" applyBorder="1"/>
    <xf numFmtId="49" fontId="12" fillId="3" borderId="1" xfId="0" applyNumberFormat="1" applyFont="1" applyFill="1" applyBorder="1" applyAlignment="1">
      <alignment horizontal="right"/>
    </xf>
    <xf numFmtId="177" fontId="10" fillId="3" borderId="1" xfId="0" applyNumberFormat="1" applyFont="1" applyFill="1" applyBorder="1"/>
    <xf numFmtId="14" fontId="0" fillId="3" borderId="0" xfId="0" applyNumberFormat="1" applyFill="1"/>
    <xf numFmtId="0" fontId="0" fillId="3" borderId="0" xfId="0" applyFill="1"/>
    <xf numFmtId="0" fontId="0" fillId="0" borderId="0" xfId="0" applyAlignment="1">
      <alignment horizontal="center"/>
    </xf>
    <xf numFmtId="0" fontId="0" fillId="0" borderId="0" xfId="0" applyAlignment="1">
      <alignment horizontal="left" vertical="top" wrapText="1"/>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3" fillId="2" borderId="30" xfId="0" applyFont="1" applyFill="1" applyBorder="1" applyAlignment="1">
      <alignment horizontal="left" vertical="center"/>
    </xf>
    <xf numFmtId="0" fontId="13"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28"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5" fillId="0" borderId="5" xfId="0" applyFont="1" applyBorder="1" applyAlignment="1">
      <alignment horizontal="left" vertical="top" wrapText="1"/>
    </xf>
    <xf numFmtId="0" fontId="25"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25" fillId="0" borderId="0" xfId="0" applyFont="1" applyAlignment="1">
      <alignment horizontal="left" vertical="top" wrapText="1"/>
    </xf>
    <xf numFmtId="0" fontId="25" fillId="0" borderId="0" xfId="0" applyFont="1" applyAlignment="1">
      <alignment horizontal="left" vertical="top"/>
    </xf>
    <xf numFmtId="0" fontId="25" fillId="0" borderId="5" xfId="0" applyFont="1" applyBorder="1" applyAlignment="1">
      <alignment horizontal="left" vertical="top"/>
    </xf>
    <xf numFmtId="0" fontId="0" fillId="0" borderId="46" xfId="0" applyBorder="1" applyAlignment="1">
      <alignment horizontal="right" shrinkToFit="1"/>
    </xf>
    <xf numFmtId="0" fontId="24" fillId="0" borderId="5" xfId="0" applyFont="1" applyBorder="1" applyAlignment="1">
      <alignment horizontal="left" vertical="top" wrapText="1"/>
    </xf>
    <xf numFmtId="0" fontId="24"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abSelected="1" view="pageBreakPreview" zoomScaleNormal="100" zoomScaleSheetLayoutView="100" workbookViewId="0">
      <selection activeCell="M5" sqref="M5"/>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19" t="s">
        <v>386</v>
      </c>
      <c r="B1" s="419"/>
      <c r="C1" s="419"/>
      <c r="D1" s="419"/>
      <c r="E1" s="419"/>
      <c r="F1" s="419"/>
      <c r="G1" s="419"/>
      <c r="H1" s="419"/>
      <c r="I1" s="419"/>
    </row>
    <row r="2" spans="1:11" ht="6" customHeight="1" x14ac:dyDescent="0.15">
      <c r="A2" s="75"/>
      <c r="B2" s="75"/>
      <c r="C2" s="75"/>
      <c r="D2" s="75"/>
      <c r="E2" s="75"/>
      <c r="F2" s="75"/>
      <c r="G2" s="75"/>
      <c r="H2" s="75"/>
      <c r="I2" s="430">
        <f>MAX(修正履歴!A:A)</f>
        <v>45285</v>
      </c>
      <c r="J2" s="430"/>
      <c r="K2" s="430"/>
    </row>
    <row r="3" spans="1:11" x14ac:dyDescent="0.15">
      <c r="A3" s="88" t="s">
        <v>300</v>
      </c>
      <c r="C3" s="75"/>
      <c r="D3" s="75"/>
      <c r="E3" s="75"/>
      <c r="F3" s="75"/>
      <c r="G3" s="75"/>
      <c r="H3" s="75"/>
      <c r="I3" s="430"/>
      <c r="J3" s="430"/>
      <c r="K3" s="430"/>
    </row>
    <row r="4" spans="1:11" ht="9.75" customHeight="1" x14ac:dyDescent="0.15">
      <c r="A4" s="75"/>
      <c r="B4" s="88"/>
      <c r="C4" s="75"/>
      <c r="D4" s="75"/>
      <c r="E4" s="75"/>
      <c r="F4" s="75"/>
      <c r="G4" s="75"/>
      <c r="H4" s="75"/>
      <c r="I4" s="75"/>
    </row>
    <row r="5" spans="1:11" x14ac:dyDescent="0.15">
      <c r="A5" s="75"/>
      <c r="B5" s="420"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20"/>
      <c r="D5" s="420"/>
      <c r="E5" s="420"/>
      <c r="F5" s="420"/>
      <c r="G5" s="420"/>
      <c r="H5" s="420"/>
      <c r="I5" s="420"/>
    </row>
    <row r="6" spans="1:11" x14ac:dyDescent="0.15">
      <c r="A6" s="75"/>
      <c r="B6" s="420"/>
      <c r="C6" s="420"/>
      <c r="D6" s="420"/>
      <c r="E6" s="420"/>
      <c r="F6" s="420"/>
      <c r="G6" s="420"/>
      <c r="H6" s="420"/>
      <c r="I6" s="420"/>
    </row>
    <row r="7" spans="1:11" ht="5.25" customHeight="1" x14ac:dyDescent="0.15">
      <c r="A7" s="75"/>
      <c r="B7" s="75"/>
      <c r="C7" s="75"/>
      <c r="D7" s="75"/>
      <c r="E7" s="57"/>
      <c r="F7" s="165"/>
      <c r="G7" s="57"/>
      <c r="H7" s="167"/>
      <c r="I7" s="166"/>
    </row>
    <row r="8" spans="1:11" ht="14.25" thickBot="1" x14ac:dyDescent="0.2">
      <c r="A8" s="204"/>
      <c r="B8" s="204"/>
      <c r="C8" s="204"/>
      <c r="D8" s="204"/>
      <c r="E8" s="427" t="s">
        <v>392</v>
      </c>
      <c r="F8" s="427"/>
      <c r="G8" s="427"/>
      <c r="H8" s="203"/>
      <c r="I8" s="166"/>
    </row>
    <row r="9" spans="1:11" x14ac:dyDescent="0.15">
      <c r="A9" s="204"/>
      <c r="B9" s="204"/>
      <c r="C9" s="204"/>
      <c r="D9" s="204"/>
      <c r="E9" s="57"/>
      <c r="F9" s="57"/>
      <c r="G9" s="57"/>
      <c r="H9" s="206" t="s">
        <v>391</v>
      </c>
      <c r="I9" s="166"/>
    </row>
    <row r="10" spans="1:11" ht="14.25" thickBot="1" x14ac:dyDescent="0.2">
      <c r="A10" s="212"/>
      <c r="B10" s="217" t="s">
        <v>630</v>
      </c>
      <c r="C10" s="218"/>
      <c r="D10" s="227">
        <v>2023</v>
      </c>
      <c r="E10" s="429" t="s">
        <v>402</v>
      </c>
      <c r="F10" s="429"/>
      <c r="G10" s="429"/>
      <c r="H10" s="228" t="s">
        <v>404</v>
      </c>
      <c r="I10" s="166"/>
    </row>
    <row r="11" spans="1:11" ht="14.25" thickBot="1" x14ac:dyDescent="0.2">
      <c r="A11" s="164"/>
      <c r="B11" s="191" t="str">
        <f>IF(VLOOKUP(H10,計算シート!F15:G19,2,0)=4,"奨学生番号","申込受付番号")</f>
        <v>申込受付番号</v>
      </c>
      <c r="C11" s="57"/>
      <c r="D11" s="223"/>
      <c r="E11" s="166" t="str">
        <f>IF(VLOOKUP(H10,計算シート!F15:G19,2,0)=4,"","-")</f>
        <v>-</v>
      </c>
      <c r="F11" s="232"/>
      <c r="G11" s="232" t="str">
        <f>IF(VLOOKUP(H10,計算シート!F15:G19,2,0)=4,"","-")</f>
        <v>-</v>
      </c>
      <c r="H11" s="224"/>
      <c r="I11" s="166"/>
    </row>
    <row r="12" spans="1:11" ht="14.25" thickBot="1" x14ac:dyDescent="0.2">
      <c r="B12" s="191" t="str">
        <f>IF(VLOOKUP(H10,計算シート!F15:G19,2,0)=4,"奨学生","申込者")&amp;"本人氏名"</f>
        <v>申込者本人氏名</v>
      </c>
      <c r="C12" s="57"/>
      <c r="D12" s="207"/>
      <c r="E12" s="426" t="s">
        <v>393</v>
      </c>
      <c r="F12" s="426"/>
      <c r="G12" s="426"/>
      <c r="H12" s="203"/>
    </row>
    <row r="13" spans="1:11" ht="14.25" thickBot="1" x14ac:dyDescent="0.2">
      <c r="B13" s="191" t="s">
        <v>276</v>
      </c>
      <c r="C13" s="57"/>
      <c r="D13" s="208"/>
      <c r="E13" s="57"/>
      <c r="F13" s="57"/>
      <c r="G13" s="57"/>
      <c r="H13" s="206" t="s">
        <v>391</v>
      </c>
    </row>
    <row r="14" spans="1:11" ht="14.25" thickBot="1" x14ac:dyDescent="0.2">
      <c r="B14" s="191" t="s">
        <v>277</v>
      </c>
      <c r="C14" s="57"/>
      <c r="D14" s="209"/>
      <c r="E14" s="428"/>
      <c r="F14" s="428"/>
      <c r="G14" s="428"/>
      <c r="H14" s="210"/>
    </row>
    <row r="15" spans="1:11" x14ac:dyDescent="0.15">
      <c r="B15" s="221" t="str">
        <f>"※ 以下、収入（所得）は【"&amp;YEAR(計算シート!C46)-1&amp;"年1月1日～12月31日】のものを入力してください。"</f>
        <v>※ 以下、収入（所得）は【2022年1月1日～12月31日】のものを入力してください。</v>
      </c>
      <c r="C15" s="57"/>
      <c r="D15" s="215"/>
      <c r="E15" s="214"/>
      <c r="F15" s="214"/>
      <c r="G15" s="214"/>
      <c r="H15" s="210"/>
    </row>
    <row r="16" spans="1:11" x14ac:dyDescent="0.15">
      <c r="B16" s="221" t="str">
        <f>"    扶養等の情報は【"&amp;YEAR(計算シート!C46)-1&amp;"年12月31日】現在のものを入力してください。"</f>
        <v xml:space="preserve">    扶養等の情報は【2022年12月31日】現在のものを入力してください。</v>
      </c>
      <c r="C16" s="57"/>
      <c r="D16" s="215"/>
      <c r="E16" s="214"/>
      <c r="F16" s="214"/>
      <c r="G16" s="214"/>
      <c r="H16" s="210"/>
    </row>
    <row r="17" spans="1:10" ht="3.75" customHeight="1" thickBot="1" x14ac:dyDescent="0.2">
      <c r="A17" s="81"/>
      <c r="B17" s="81"/>
      <c r="C17" s="81"/>
      <c r="D17" s="81"/>
      <c r="E17" s="81"/>
      <c r="H17" s="81"/>
    </row>
    <row r="18" spans="1:10" s="99" customFormat="1" ht="15.6" customHeight="1" thickTop="1" x14ac:dyDescent="0.15">
      <c r="A18" s="87" t="s">
        <v>421</v>
      </c>
      <c r="B18" s="97"/>
      <c r="C18" s="97"/>
      <c r="D18" s="97"/>
      <c r="E18" s="98"/>
      <c r="G18" s="84" t="s">
        <v>379</v>
      </c>
      <c r="H18" s="193"/>
      <c r="I18" s="98"/>
    </row>
    <row r="19" spans="1:10" s="99" customFormat="1" ht="12.95" customHeight="1" thickBot="1" x14ac:dyDescent="0.2">
      <c r="A19" s="171" t="s">
        <v>319</v>
      </c>
      <c r="B19" s="149" t="s">
        <v>413</v>
      </c>
      <c r="C19" s="380"/>
      <c r="D19" s="381">
        <f>H12</f>
        <v>0</v>
      </c>
      <c r="E19" s="103"/>
      <c r="G19" s="195" t="s">
        <v>380</v>
      </c>
      <c r="H19" s="76"/>
      <c r="I19" s="103"/>
    </row>
    <row r="20" spans="1:10" s="99" customFormat="1" ht="12.95" customHeight="1" thickBot="1" x14ac:dyDescent="0.2">
      <c r="A20" s="172" t="s">
        <v>320</v>
      </c>
      <c r="B20" s="102" t="s">
        <v>295</v>
      </c>
      <c r="D20" s="58" t="s">
        <v>38</v>
      </c>
      <c r="E20" s="103"/>
      <c r="G20" s="195" t="s">
        <v>381</v>
      </c>
      <c r="H20" s="76"/>
      <c r="I20" s="103"/>
    </row>
    <row r="21" spans="1:10" s="99" customFormat="1" ht="12.95" customHeight="1" thickBot="1" x14ac:dyDescent="0.2">
      <c r="A21" s="172" t="s">
        <v>321</v>
      </c>
      <c r="B21" s="99" t="s">
        <v>296</v>
      </c>
      <c r="C21" s="104"/>
      <c r="D21" s="91" t="s">
        <v>44</v>
      </c>
      <c r="E21" s="103"/>
      <c r="G21" s="195" t="s">
        <v>382</v>
      </c>
      <c r="H21" s="76"/>
      <c r="I21" s="103"/>
    </row>
    <row r="22" spans="1:10" s="99" customFormat="1" ht="12.95" customHeight="1" thickBot="1" x14ac:dyDescent="0.2">
      <c r="A22" s="172" t="s">
        <v>322</v>
      </c>
      <c r="B22" s="105" t="s">
        <v>297</v>
      </c>
      <c r="C22" s="104"/>
      <c r="D22" s="74" t="s">
        <v>40</v>
      </c>
      <c r="E22" s="103"/>
      <c r="G22" s="196">
        <v>1</v>
      </c>
      <c r="H22" s="197" t="s">
        <v>383</v>
      </c>
      <c r="I22" s="199" t="s">
        <v>631</v>
      </c>
    </row>
    <row r="23" spans="1:10" s="99" customFormat="1" ht="12.95" customHeight="1" thickBot="1" x14ac:dyDescent="0.2">
      <c r="A23" s="172" t="s">
        <v>323</v>
      </c>
      <c r="B23" s="106" t="s">
        <v>422</v>
      </c>
      <c r="C23" s="100"/>
      <c r="D23" s="58" t="s">
        <v>42</v>
      </c>
      <c r="E23" s="103"/>
      <c r="G23" s="196">
        <v>2</v>
      </c>
      <c r="H23" s="198" t="s">
        <v>390</v>
      </c>
      <c r="I23" s="199" t="str">
        <f>IF(D32="はい","○"&amp;IF(VLOOKUP(H10,計算シート!F15:G19,2,0)=4,"※",""),"")</f>
        <v>○</v>
      </c>
    </row>
    <row r="24" spans="1:10" s="99" customFormat="1" ht="12.95" customHeight="1" thickBot="1" x14ac:dyDescent="0.2">
      <c r="A24" s="172" t="s">
        <v>324</v>
      </c>
      <c r="B24" s="60" t="s">
        <v>280</v>
      </c>
      <c r="C24" s="100"/>
      <c r="D24" s="74" t="s">
        <v>49</v>
      </c>
      <c r="E24" s="103"/>
      <c r="G24" s="196">
        <v>3</v>
      </c>
      <c r="H24" s="197" t="s">
        <v>389</v>
      </c>
      <c r="I24" s="199" t="str">
        <f>IF(SUM(D47:D55,H47:H55)&gt;0,"○","")</f>
        <v/>
      </c>
    </row>
    <row r="25" spans="1:10" s="99" customFormat="1" ht="12.95" customHeight="1" thickBot="1" x14ac:dyDescent="0.2">
      <c r="A25" s="172" t="s">
        <v>325</v>
      </c>
      <c r="B25" s="99" t="s">
        <v>281</v>
      </c>
      <c r="D25" s="205">
        <v>0</v>
      </c>
      <c r="E25" s="101" t="str">
        <f>MID(D24,SEARCH("(",D24)+1,3)</f>
        <v>JPY</v>
      </c>
      <c r="G25" s="196">
        <v>4</v>
      </c>
      <c r="H25" s="197" t="s">
        <v>388</v>
      </c>
      <c r="I25" s="199" t="str">
        <f>IF(D32="いいえ","○","")</f>
        <v/>
      </c>
    </row>
    <row r="26" spans="1:10" s="99" customFormat="1" ht="12.95" customHeight="1" thickBot="1" x14ac:dyDescent="0.2">
      <c r="A26" s="172" t="s">
        <v>326</v>
      </c>
      <c r="B26" s="148" t="s">
        <v>308</v>
      </c>
      <c r="C26" s="100"/>
      <c r="D26" s="74" t="s">
        <v>49</v>
      </c>
      <c r="E26" s="103"/>
      <c r="G26" s="196">
        <v>5</v>
      </c>
      <c r="H26" s="197" t="s">
        <v>387</v>
      </c>
      <c r="I26" s="199" t="str">
        <f>IF(OR(D21="障がい者である",D21="特別の障がい者である",D35="障がい者である",D35="特別の障がい者である",H35="障がい者である",H35="特別の障がい者である",SUM(D53:D55,H53:H55)&gt;0),"○","")</f>
        <v/>
      </c>
    </row>
    <row r="27" spans="1:10" s="99" customFormat="1" ht="12.95" customHeight="1" thickBot="1" x14ac:dyDescent="0.2">
      <c r="A27" s="173" t="s">
        <v>327</v>
      </c>
      <c r="B27" s="82" t="s">
        <v>309</v>
      </c>
      <c r="C27" s="108"/>
      <c r="D27" s="205">
        <v>0</v>
      </c>
      <c r="E27" s="109" t="str">
        <f>MID(D26,SEARCH("(",D26)+1,3)</f>
        <v>JPY</v>
      </c>
      <c r="G27" s="194"/>
      <c r="H27" s="118"/>
      <c r="I27" s="128"/>
    </row>
    <row r="28" spans="1:10" s="99" customFormat="1" ht="3" customHeight="1" thickTop="1" x14ac:dyDescent="0.15"/>
    <row r="29" spans="1:10" s="99" customFormat="1" ht="14.1" customHeight="1" thickBot="1" x14ac:dyDescent="0.2">
      <c r="A29" s="79"/>
      <c r="B29" s="79"/>
      <c r="C29" s="80"/>
      <c r="D29" s="110" t="s">
        <v>38</v>
      </c>
      <c r="E29" s="111"/>
      <c r="F29" s="79"/>
      <c r="G29" s="80"/>
      <c r="H29" s="126" t="str">
        <f>IF(AND(D32="はい",D33="いいえ"),"生計維持者１の配偶者",IF(AND(D32="はい",D33="はい"),"生計維持者２",""))</f>
        <v>生計維持者１の配偶者</v>
      </c>
      <c r="I29" s="112"/>
      <c r="J29" s="113"/>
    </row>
    <row r="30" spans="1:10" s="99" customFormat="1" ht="15.6" customHeight="1" thickTop="1" thickBot="1" x14ac:dyDescent="0.2">
      <c r="A30" s="84" t="s">
        <v>282</v>
      </c>
      <c r="B30" s="76"/>
      <c r="C30" s="77"/>
      <c r="D30" s="76"/>
      <c r="E30" s="114"/>
      <c r="F30" s="76"/>
      <c r="G30" s="77"/>
      <c r="H30" s="127" t="str">
        <f>IF(H29="生計維持者１の配偶者","(配偶者の基本情報）","")</f>
        <v>(配偶者の基本情報）</v>
      </c>
      <c r="I30" s="98"/>
      <c r="J30" s="115"/>
    </row>
    <row r="31" spans="1:10" s="99" customFormat="1" ht="12.95" customHeight="1" thickBot="1" x14ac:dyDescent="0.2">
      <c r="A31" s="174" t="s">
        <v>328</v>
      </c>
      <c r="B31" s="149" t="s">
        <v>412</v>
      </c>
      <c r="C31" s="63"/>
      <c r="D31" s="222">
        <v>18268</v>
      </c>
      <c r="E31" s="114"/>
      <c r="F31" s="177" t="s">
        <v>334</v>
      </c>
      <c r="G31" s="77"/>
      <c r="H31" s="222">
        <v>18300</v>
      </c>
      <c r="I31" s="103"/>
      <c r="J31" s="115"/>
    </row>
    <row r="32" spans="1:10" s="99" customFormat="1" ht="12.95" customHeight="1" thickBot="1" x14ac:dyDescent="0.2">
      <c r="A32" s="175" t="s">
        <v>329</v>
      </c>
      <c r="B32" s="60" t="s">
        <v>312</v>
      </c>
      <c r="C32" s="63"/>
      <c r="D32" s="58" t="s">
        <v>40</v>
      </c>
      <c r="E32" s="114"/>
      <c r="F32" s="178"/>
      <c r="G32" s="77"/>
      <c r="H32" s="116"/>
      <c r="I32" s="103"/>
      <c r="J32" s="115"/>
    </row>
    <row r="33" spans="1:10" s="99" customFormat="1" ht="12.95" customHeight="1" thickBot="1" x14ac:dyDescent="0.2">
      <c r="A33" s="175" t="s">
        <v>330</v>
      </c>
      <c r="B33" s="60" t="s">
        <v>318</v>
      </c>
      <c r="C33" s="63"/>
      <c r="D33" s="58" t="s">
        <v>42</v>
      </c>
      <c r="E33" s="114"/>
      <c r="F33" s="178"/>
      <c r="G33" s="77"/>
      <c r="H33" s="116"/>
      <c r="I33" s="103"/>
      <c r="J33" s="115"/>
    </row>
    <row r="34" spans="1:10" s="99" customFormat="1" ht="12.95" customHeight="1" thickBot="1" x14ac:dyDescent="0.2">
      <c r="A34" s="175" t="s">
        <v>331</v>
      </c>
      <c r="B34" s="62" t="s">
        <v>315</v>
      </c>
      <c r="C34" s="64"/>
      <c r="D34" s="58" t="s">
        <v>42</v>
      </c>
      <c r="E34" s="114"/>
      <c r="F34" s="178"/>
      <c r="G34" s="77"/>
      <c r="H34" s="76"/>
      <c r="I34" s="103"/>
      <c r="J34" s="115"/>
    </row>
    <row r="35" spans="1:10" s="99" customFormat="1" ht="12.95" customHeight="1" thickBot="1" x14ac:dyDescent="0.2">
      <c r="A35" s="175" t="s">
        <v>332</v>
      </c>
      <c r="B35" s="60" t="s">
        <v>298</v>
      </c>
      <c r="C35" s="63"/>
      <c r="D35" s="59" t="s">
        <v>44</v>
      </c>
      <c r="E35" s="114"/>
      <c r="F35" s="179" t="s">
        <v>335</v>
      </c>
      <c r="G35" s="77"/>
      <c r="H35" s="59" t="s">
        <v>44</v>
      </c>
      <c r="I35" s="103"/>
      <c r="J35" s="115"/>
    </row>
    <row r="36" spans="1:10" s="99" customFormat="1" ht="12.95" customHeight="1" thickBot="1" x14ac:dyDescent="0.2">
      <c r="A36" s="176" t="s">
        <v>333</v>
      </c>
      <c r="B36" s="82" t="s">
        <v>299</v>
      </c>
      <c r="C36" s="83"/>
      <c r="D36" s="59" t="s">
        <v>615</v>
      </c>
      <c r="E36" s="117"/>
      <c r="F36" s="180"/>
      <c r="G36" s="123"/>
      <c r="H36" s="129"/>
      <c r="I36" s="128"/>
      <c r="J36" s="115"/>
    </row>
    <row r="37" spans="1:10" s="147" customFormat="1" ht="11.25" customHeight="1" thickTop="1" thickBot="1" x14ac:dyDescent="0.2">
      <c r="A37" s="141"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2"/>
      <c r="C37" s="143"/>
      <c r="D37" s="142"/>
      <c r="E37" s="144"/>
      <c r="F37" s="169"/>
      <c r="G37" s="143"/>
      <c r="H37" s="145"/>
      <c r="I37" s="142"/>
      <c r="J37" s="146"/>
    </row>
    <row r="38" spans="1:10" s="99" customFormat="1" ht="15.6" customHeight="1" thickTop="1" thickBot="1" x14ac:dyDescent="0.2">
      <c r="A38" s="84" t="s">
        <v>283</v>
      </c>
      <c r="B38" s="76"/>
      <c r="C38" s="77"/>
      <c r="D38" s="76"/>
      <c r="E38" s="114"/>
      <c r="F38" s="168"/>
      <c r="G38" s="77"/>
      <c r="H38" s="127" t="str">
        <f>IF(H29="生計維持者１の配偶者","(配偶者の収入・所得の情報）","")</f>
        <v>(配偶者の収入・所得の情報）</v>
      </c>
      <c r="I38" s="98"/>
      <c r="J38" s="115"/>
    </row>
    <row r="39" spans="1:10" s="99" customFormat="1" ht="12.95" customHeight="1" thickBot="1" x14ac:dyDescent="0.2">
      <c r="A39" s="174" t="s">
        <v>336</v>
      </c>
      <c r="B39" s="60" t="s">
        <v>272</v>
      </c>
      <c r="C39" s="63"/>
      <c r="D39" s="74" t="s">
        <v>49</v>
      </c>
      <c r="E39" s="114"/>
      <c r="F39" s="177" t="s">
        <v>342</v>
      </c>
      <c r="G39" s="77"/>
      <c r="H39" s="74" t="s">
        <v>49</v>
      </c>
      <c r="I39" s="103"/>
      <c r="J39" s="115"/>
    </row>
    <row r="40" spans="1:10" s="99" customFormat="1" ht="12.95" customHeight="1" thickBot="1" x14ac:dyDescent="0.2">
      <c r="A40" s="175" t="s">
        <v>337</v>
      </c>
      <c r="B40" s="60" t="s">
        <v>274</v>
      </c>
      <c r="C40" s="63"/>
      <c r="D40" s="205">
        <v>0</v>
      </c>
      <c r="E40" s="115" t="str">
        <f>MID(D39,SEARCH("(",D39)+1,3)</f>
        <v>JPY</v>
      </c>
      <c r="F40" s="179" t="s">
        <v>343</v>
      </c>
      <c r="G40" s="77"/>
      <c r="H40" s="205">
        <v>0</v>
      </c>
      <c r="I40" s="101" t="str">
        <f>MID(H39,SEARCH("(",H39)+1,3)</f>
        <v>JPY</v>
      </c>
      <c r="J40" s="115"/>
    </row>
    <row r="41" spans="1:10" s="99" customFormat="1" ht="12.95" customHeight="1" thickBot="1" x14ac:dyDescent="0.2">
      <c r="A41" s="175" t="s">
        <v>338</v>
      </c>
      <c r="B41" s="60" t="s">
        <v>273</v>
      </c>
      <c r="C41" s="63"/>
      <c r="D41" s="74" t="s">
        <v>49</v>
      </c>
      <c r="E41" s="114"/>
      <c r="F41" s="179" t="s">
        <v>344</v>
      </c>
      <c r="G41" s="77"/>
      <c r="H41" s="74" t="s">
        <v>49</v>
      </c>
      <c r="I41" s="103"/>
      <c r="J41" s="115"/>
    </row>
    <row r="42" spans="1:10" s="99" customFormat="1" ht="12.95" customHeight="1" thickBot="1" x14ac:dyDescent="0.2">
      <c r="A42" s="175" t="s">
        <v>339</v>
      </c>
      <c r="B42" s="60" t="s">
        <v>275</v>
      </c>
      <c r="C42" s="63"/>
      <c r="D42" s="205">
        <v>0</v>
      </c>
      <c r="E42" s="115" t="str">
        <f>MID(D41,SEARCH("(",D41)+1,3)</f>
        <v>JPY</v>
      </c>
      <c r="F42" s="179" t="s">
        <v>345</v>
      </c>
      <c r="G42" s="77"/>
      <c r="H42" s="205">
        <v>0</v>
      </c>
      <c r="I42" s="121" t="str">
        <f>MID(H41,SEARCH("(",H41)+1,3)</f>
        <v>JPY</v>
      </c>
      <c r="J42" s="115"/>
    </row>
    <row r="43" spans="1:10" s="99" customFormat="1" ht="12.95" customHeight="1" thickBot="1" x14ac:dyDescent="0.2">
      <c r="A43" s="175" t="s">
        <v>340</v>
      </c>
      <c r="B43" s="149" t="s">
        <v>306</v>
      </c>
      <c r="C43" s="63"/>
      <c r="D43" s="74" t="s">
        <v>49</v>
      </c>
      <c r="E43" s="114"/>
      <c r="F43" s="179" t="s">
        <v>346</v>
      </c>
      <c r="G43" s="77"/>
      <c r="H43" s="74" t="s">
        <v>49</v>
      </c>
      <c r="I43" s="122"/>
      <c r="J43" s="115"/>
    </row>
    <row r="44" spans="1:10" s="99" customFormat="1" ht="12.95" customHeight="1" thickBot="1" x14ac:dyDescent="0.2">
      <c r="A44" s="176" t="s">
        <v>341</v>
      </c>
      <c r="B44" s="86" t="s">
        <v>307</v>
      </c>
      <c r="C44" s="70"/>
      <c r="D44" s="205">
        <v>0</v>
      </c>
      <c r="E44" s="117" t="str">
        <f>MID(D43,SEARCH("(",D43)+1,3)</f>
        <v>JPY</v>
      </c>
      <c r="F44" s="181" t="s">
        <v>347</v>
      </c>
      <c r="G44" s="119"/>
      <c r="H44" s="205">
        <v>0</v>
      </c>
      <c r="I44" s="121" t="str">
        <f>MID(H43,SEARCH("(",H43)+1,3)</f>
        <v>JPY</v>
      </c>
      <c r="J44" s="115"/>
    </row>
    <row r="45" spans="1:10" s="99" customFormat="1" ht="7.5" customHeight="1" thickTop="1" thickBot="1" x14ac:dyDescent="0.2">
      <c r="A45" s="170"/>
      <c r="B45" s="79"/>
      <c r="C45" s="85"/>
      <c r="D45" s="79"/>
      <c r="E45" s="120"/>
      <c r="F45" s="170"/>
      <c r="G45" s="85"/>
      <c r="H45" s="79"/>
      <c r="I45" s="124"/>
      <c r="J45" s="115"/>
    </row>
    <row r="46" spans="1:10" s="99" customFormat="1" ht="15.6" customHeight="1" thickTop="1" thickBot="1" x14ac:dyDescent="0.2">
      <c r="A46" s="424" t="s">
        <v>366</v>
      </c>
      <c r="B46" s="425"/>
      <c r="C46" s="425"/>
      <c r="D46" s="425"/>
      <c r="E46" s="114"/>
      <c r="F46" s="168"/>
      <c r="G46" s="77"/>
      <c r="H46" s="127" t="str">
        <f>IF(H29="生計維持者１の配偶者","(配偶者の扶養の情報）","")</f>
        <v>(配偶者の扶養の情報）</v>
      </c>
      <c r="I46" s="98"/>
      <c r="J46" s="115"/>
    </row>
    <row r="47" spans="1:10" s="99" customFormat="1" ht="12.95" customHeight="1" thickBot="1" x14ac:dyDescent="0.2">
      <c r="A47" s="175" t="s">
        <v>348</v>
      </c>
      <c r="B47" s="60" t="s">
        <v>0</v>
      </c>
      <c r="C47" s="63"/>
      <c r="D47" s="58">
        <v>0</v>
      </c>
      <c r="E47" s="115" t="s">
        <v>48</v>
      </c>
      <c r="F47" s="177" t="s">
        <v>357</v>
      </c>
      <c r="G47" s="77"/>
      <c r="H47" s="58">
        <v>0</v>
      </c>
      <c r="I47" s="101" t="s">
        <v>48</v>
      </c>
      <c r="J47" s="115"/>
    </row>
    <row r="48" spans="1:10" s="99" customFormat="1" ht="12.95" customHeight="1" thickBot="1" x14ac:dyDescent="0.2">
      <c r="A48" s="175" t="s">
        <v>349</v>
      </c>
      <c r="B48" s="60" t="s">
        <v>1</v>
      </c>
      <c r="C48" s="63"/>
      <c r="D48" s="58">
        <v>0</v>
      </c>
      <c r="E48" s="115" t="s">
        <v>48</v>
      </c>
      <c r="F48" s="179" t="s">
        <v>358</v>
      </c>
      <c r="G48" s="77"/>
      <c r="H48" s="58">
        <v>0</v>
      </c>
      <c r="I48" s="101" t="s">
        <v>48</v>
      </c>
      <c r="J48" s="115"/>
    </row>
    <row r="49" spans="1:10" s="99" customFormat="1" ht="12.95" customHeight="1" thickBot="1" x14ac:dyDescent="0.2">
      <c r="A49" s="175" t="s">
        <v>350</v>
      </c>
      <c r="B49" s="60" t="s">
        <v>2</v>
      </c>
      <c r="C49" s="63"/>
      <c r="D49" s="58">
        <v>0</v>
      </c>
      <c r="E49" s="115" t="s">
        <v>48</v>
      </c>
      <c r="F49" s="179" t="s">
        <v>359</v>
      </c>
      <c r="G49" s="77"/>
      <c r="H49" s="58">
        <v>0</v>
      </c>
      <c r="I49" s="101" t="s">
        <v>48</v>
      </c>
      <c r="J49" s="115"/>
    </row>
    <row r="50" spans="1:10" s="99" customFormat="1" ht="12.95" customHeight="1" thickBot="1" x14ac:dyDescent="0.2">
      <c r="A50" s="175" t="s">
        <v>351</v>
      </c>
      <c r="B50" s="60" t="s">
        <v>3</v>
      </c>
      <c r="C50" s="63"/>
      <c r="D50" s="58">
        <v>0</v>
      </c>
      <c r="E50" s="115" t="s">
        <v>48</v>
      </c>
      <c r="F50" s="179" t="s">
        <v>360</v>
      </c>
      <c r="G50" s="77"/>
      <c r="H50" s="58">
        <v>0</v>
      </c>
      <c r="I50" s="101" t="s">
        <v>48</v>
      </c>
      <c r="J50" s="115"/>
    </row>
    <row r="51" spans="1:10" s="99" customFormat="1" ht="12.95" customHeight="1" thickBot="1" x14ac:dyDescent="0.2">
      <c r="A51" s="175" t="s">
        <v>352</v>
      </c>
      <c r="B51" s="60" t="s">
        <v>4</v>
      </c>
      <c r="C51" s="63"/>
      <c r="D51" s="58">
        <v>0</v>
      </c>
      <c r="E51" s="115" t="s">
        <v>48</v>
      </c>
      <c r="F51" s="179" t="s">
        <v>361</v>
      </c>
      <c r="G51" s="77"/>
      <c r="H51" s="58">
        <v>0</v>
      </c>
      <c r="I51" s="101" t="s">
        <v>48</v>
      </c>
      <c r="J51" s="115"/>
    </row>
    <row r="52" spans="1:10" s="99" customFormat="1" ht="12.95" customHeight="1" thickBot="1" x14ac:dyDescent="0.2">
      <c r="A52" s="175" t="s">
        <v>353</v>
      </c>
      <c r="B52" s="60" t="s">
        <v>5</v>
      </c>
      <c r="C52" s="63"/>
      <c r="D52" s="58">
        <v>0</v>
      </c>
      <c r="E52" s="115" t="s">
        <v>48</v>
      </c>
      <c r="F52" s="179" t="s">
        <v>362</v>
      </c>
      <c r="G52" s="77"/>
      <c r="H52" s="58">
        <v>0</v>
      </c>
      <c r="I52" s="101" t="s">
        <v>48</v>
      </c>
      <c r="J52" s="115"/>
    </row>
    <row r="53" spans="1:10" s="99" customFormat="1" ht="12.95" customHeight="1" thickBot="1" x14ac:dyDescent="0.2">
      <c r="A53" s="175" t="s">
        <v>354</v>
      </c>
      <c r="B53" s="60" t="s">
        <v>302</v>
      </c>
      <c r="C53" s="63"/>
      <c r="D53" s="58">
        <v>0</v>
      </c>
      <c r="E53" s="115" t="s">
        <v>48</v>
      </c>
      <c r="F53" s="179" t="s">
        <v>363</v>
      </c>
      <c r="G53" s="77"/>
      <c r="H53" s="58">
        <v>0</v>
      </c>
      <c r="I53" s="101" t="s">
        <v>48</v>
      </c>
      <c r="J53" s="115"/>
    </row>
    <row r="54" spans="1:10" s="99" customFormat="1" ht="12.95" customHeight="1" thickBot="1" x14ac:dyDescent="0.2">
      <c r="A54" s="175" t="s">
        <v>355</v>
      </c>
      <c r="B54" s="61" t="s">
        <v>303</v>
      </c>
      <c r="C54" s="65"/>
      <c r="D54" s="58">
        <v>0</v>
      </c>
      <c r="E54" s="115" t="s">
        <v>48</v>
      </c>
      <c r="F54" s="179" t="s">
        <v>364</v>
      </c>
      <c r="G54" s="77"/>
      <c r="H54" s="58">
        <v>0</v>
      </c>
      <c r="I54" s="101" t="s">
        <v>48</v>
      </c>
      <c r="J54" s="115"/>
    </row>
    <row r="55" spans="1:10" s="99" customFormat="1" ht="12.95" customHeight="1" thickBot="1" x14ac:dyDescent="0.2">
      <c r="A55" s="176" t="s">
        <v>356</v>
      </c>
      <c r="B55" s="125" t="s">
        <v>304</v>
      </c>
      <c r="C55" s="83"/>
      <c r="D55" s="58">
        <v>0</v>
      </c>
      <c r="E55" s="117" t="s">
        <v>48</v>
      </c>
      <c r="F55" s="182" t="s">
        <v>365</v>
      </c>
      <c r="G55" s="119"/>
      <c r="H55" s="58">
        <v>0</v>
      </c>
      <c r="I55" s="109" t="s">
        <v>48</v>
      </c>
      <c r="J55" s="115"/>
    </row>
    <row r="56" spans="1:10" ht="6.6" customHeight="1" thickTop="1" x14ac:dyDescent="0.15">
      <c r="C56" s="66"/>
      <c r="D56" s="67"/>
      <c r="E56" s="68"/>
      <c r="G56" s="66"/>
      <c r="H56" s="69"/>
      <c r="I56" s="69"/>
      <c r="J56" s="68"/>
    </row>
    <row r="57" spans="1:10" ht="12.75" hidden="1" customHeight="1" x14ac:dyDescent="0.15">
      <c r="B57" t="s">
        <v>294</v>
      </c>
    </row>
    <row r="58" spans="1:10" ht="17.25" hidden="1" customHeight="1" thickBot="1" x14ac:dyDescent="0.2">
      <c r="B58" s="78" t="s">
        <v>278</v>
      </c>
      <c r="C58" s="78"/>
      <c r="D58" s="78"/>
      <c r="E58" s="78"/>
      <c r="H58" s="78" t="s">
        <v>293</v>
      </c>
      <c r="I58" s="78"/>
    </row>
    <row r="59" spans="1:10" ht="23.25" hidden="1" customHeight="1" thickBot="1" x14ac:dyDescent="0.2">
      <c r="B59" s="89" t="s">
        <v>279</v>
      </c>
      <c r="C59" s="89"/>
      <c r="D59" s="89"/>
      <c r="E59" s="89"/>
      <c r="H59" s="78" t="s">
        <v>293</v>
      </c>
      <c r="I59" s="78"/>
    </row>
    <row r="60" spans="1:10" ht="3.75" customHeight="1" x14ac:dyDescent="0.15"/>
    <row r="61" spans="1:10" x14ac:dyDescent="0.15">
      <c r="B61" t="s">
        <v>310</v>
      </c>
    </row>
    <row r="62" spans="1:10" x14ac:dyDescent="0.15">
      <c r="B62" s="95" t="s">
        <v>395</v>
      </c>
    </row>
    <row r="63" spans="1:10" x14ac:dyDescent="0.15">
      <c r="B63" s="96" t="s">
        <v>311</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選択肢に存在する通貨のレートは、日本銀行が報告する2023年１月分の報告省令レートに基づき当機構が換算します。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選択肢に存在しない通貨については、入力時に米ドルに換算（2023年1月1日時点のレート）して、米ドルを選択して入力してください。</v>
      </c>
    </row>
    <row r="66" spans="1:11" x14ac:dyDescent="0.15">
      <c r="B66" s="150" t="s">
        <v>416</v>
      </c>
      <c r="C66" s="151"/>
      <c r="D66" s="151"/>
      <c r="E66" s="151"/>
      <c r="F66" s="151"/>
      <c r="G66" s="151"/>
      <c r="H66" s="151"/>
    </row>
    <row r="67" spans="1:11" ht="10.5" customHeight="1" x14ac:dyDescent="0.15">
      <c r="A67" s="57"/>
      <c r="B67" s="200" t="s">
        <v>305</v>
      </c>
      <c r="C67" s="57"/>
      <c r="D67" s="57"/>
      <c r="E67" s="57"/>
      <c r="F67" s="57"/>
      <c r="G67" s="57"/>
      <c r="H67" s="57"/>
      <c r="I67" s="57"/>
      <c r="J67" s="57"/>
      <c r="K67" s="57"/>
    </row>
    <row r="68" spans="1:11" ht="13.5" customHeight="1" x14ac:dyDescent="0.15">
      <c r="A68" s="140"/>
      <c r="B68" s="201" t="s">
        <v>417</v>
      </c>
      <c r="C68" s="140"/>
      <c r="D68" s="140"/>
      <c r="E68" s="140"/>
      <c r="F68" s="140"/>
      <c r="G68" s="140"/>
      <c r="H68" s="140"/>
      <c r="I68" s="140"/>
      <c r="J68" s="140"/>
      <c r="K68" s="140"/>
    </row>
    <row r="69" spans="1:11" x14ac:dyDescent="0.15">
      <c r="B69" s="93" t="s">
        <v>301</v>
      </c>
    </row>
    <row r="70" spans="1:11" ht="10.5" customHeight="1" x14ac:dyDescent="0.15">
      <c r="A70" s="92"/>
      <c r="B70" s="130" t="s">
        <v>396</v>
      </c>
      <c r="C70" s="131"/>
      <c r="D70" s="132">
        <f>計算シート!B34</f>
        <v>0</v>
      </c>
      <c r="E70" s="133"/>
      <c r="F70" s="421"/>
      <c r="G70" s="422"/>
      <c r="H70" s="422"/>
      <c r="I70" s="423"/>
      <c r="K70" s="410" t="s">
        <v>934</v>
      </c>
    </row>
    <row r="71" spans="1:11" ht="10.5" customHeight="1" x14ac:dyDescent="0.15">
      <c r="A71" s="94"/>
      <c r="B71" s="134" t="s">
        <v>397</v>
      </c>
      <c r="C71" s="135"/>
      <c r="D71" s="136">
        <f>計算シート!C58</f>
        <v>0</v>
      </c>
      <c r="E71" s="137"/>
      <c r="F71" s="138"/>
      <c r="G71" s="138"/>
      <c r="H71" s="136">
        <f>計算シート!D58</f>
        <v>0</v>
      </c>
      <c r="I71" s="139"/>
      <c r="J71" s="57"/>
      <c r="K71" s="408" t="str">
        <f>IF(計算シート!C60=0,"-",計算シート!C61)</f>
        <v>-</v>
      </c>
    </row>
    <row r="72" spans="1:11" ht="10.5" customHeight="1" x14ac:dyDescent="0.15">
      <c r="B72" s="152" t="s">
        <v>398</v>
      </c>
      <c r="C72" s="153"/>
      <c r="D72" s="154">
        <f>IF(計算シート!C60=0,計算シート!C41,計算シート!C59)</f>
        <v>0</v>
      </c>
      <c r="E72" s="155"/>
      <c r="F72" s="156"/>
      <c r="G72" s="156"/>
      <c r="H72" s="154">
        <f>IF(計算シート!C60=0,計算シート!D41,計算シート!D59)</f>
        <v>0</v>
      </c>
      <c r="I72" s="157"/>
      <c r="J72" s="57"/>
      <c r="K72" s="409" t="s">
        <v>935</v>
      </c>
    </row>
    <row r="73" spans="1:11" ht="10.5" customHeight="1" x14ac:dyDescent="0.15">
      <c r="B73" s="158" t="s">
        <v>399</v>
      </c>
      <c r="C73" s="159"/>
      <c r="D73" s="160">
        <f>IF(計算シート!C60=0,計算シート!C42,"-")</f>
        <v>0</v>
      </c>
      <c r="E73" s="161"/>
      <c r="F73" s="162"/>
      <c r="G73" s="162"/>
      <c r="H73" s="160">
        <f>IF(計算シート!C60=0,計算シート!D42,"-")</f>
        <v>0</v>
      </c>
      <c r="I73" s="163"/>
      <c r="K73" s="408"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xr:uid="{00000000-0002-0000-0000-000000000000}">
      <formula1>0</formula1>
      <formula2>99</formula2>
    </dataValidation>
    <dataValidation type="decimal" allowBlank="1" showInputMessage="1" showErrorMessage="1" sqref="D25" xr:uid="{00000000-0002-0000-0000-000001000000}">
      <formula1>0</formula1>
      <formula2>9.99999999999999E+23</formula2>
    </dataValidation>
    <dataValidation type="decimal" allowBlank="1" showInputMessage="1" showErrorMessage="1" sqref="H40 D42 H42 D40" xr:uid="{00000000-0002-0000-0000-000002000000}">
      <formula1>0</formula1>
      <formula2>999999999999999000000</formula2>
    </dataValidation>
    <dataValidation type="date" allowBlank="1" showInputMessage="1" showErrorMessage="1" sqref="H31 D31" xr:uid="{00000000-0002-0000-0000-000003000000}">
      <formula1>1</formula1>
      <formula2>73051</formula2>
    </dataValidation>
    <dataValidation type="decimal" allowBlank="1" showInputMessage="1" showErrorMessage="1" sqref="D44 H44 D27" xr:uid="{00000000-0002-0000-0000-000004000000}">
      <formula1>-999999999999999000000</formula1>
      <formula2>999999999999999000000</formula2>
    </dataValidation>
    <dataValidation type="date" allowBlank="1" showInputMessage="1" showErrorMessage="1" sqref="H12 H8" xr:uid="{00000000-0002-0000-0000-000005000000}">
      <formula1>1</formula1>
      <formula2>401404</formula2>
    </dataValidation>
    <dataValidation type="whole" allowBlank="1" showInputMessage="1" showErrorMessage="1" sqref="D10" xr:uid="{00000000-0002-0000-0000-00000600000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計算シート!$F$5:$F$7</xm:f>
          </x14:formula1>
          <xm:sqref>D35 H35 D21</xm:sqref>
        </x14:dataValidation>
        <x14:dataValidation type="list" allowBlank="1" showInputMessage="1" showErrorMessage="1" xr:uid="{00000000-0002-0000-0000-000008000000}">
          <x14:formula1>
            <xm:f>計算シート!$F$3:$F$4</xm:f>
          </x14:formula1>
          <xm:sqref>D32:D34 D22:D23</xm:sqref>
        </x14:dataValidation>
        <x14:dataValidation type="list" allowBlank="1" showInputMessage="1" showErrorMessage="1" xr:uid="{00000000-0002-0000-0000-000009000000}">
          <x14:formula1>
            <xm:f>前年レート!$N$12:$N$74</xm:f>
          </x14:formula1>
          <xm:sqref>D39 D43 H39 D41 H41 H43 D24 D26</xm:sqref>
        </x14:dataValidation>
        <x14:dataValidation type="list" allowBlank="1" showInputMessage="1" showErrorMessage="1" xr:uid="{00000000-0002-0000-0000-00000A000000}">
          <x14:formula1>
            <xm:f>計算シート!$F$8:$F$10</xm:f>
          </x14:formula1>
          <xm:sqref>D36</xm:sqref>
        </x14:dataValidation>
        <x14:dataValidation type="list" allowBlank="1" showInputMessage="1" showErrorMessage="1" xr:uid="{00000000-0002-0000-0000-00000B000000}">
          <x14:formula1>
            <xm:f>計算シート!$F$11:$F$13</xm:f>
          </x14:formula1>
          <xm:sqref>D20</xm:sqref>
        </x14:dataValidation>
        <x14:dataValidation type="list" allowBlank="1" showInputMessage="1" showErrorMessage="1" xr:uid="{00000000-0002-0000-0000-00000C000000}">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3" t="s">
        <v>591</v>
      </c>
    </row>
    <row r="3" spans="1:4" x14ac:dyDescent="0.15">
      <c r="A3" s="50">
        <v>2</v>
      </c>
      <c r="B3" s="379" t="s">
        <v>592</v>
      </c>
      <c r="C3" s="50" t="s">
        <v>78</v>
      </c>
      <c r="D3" s="50" t="s">
        <v>81</v>
      </c>
    </row>
    <row r="4" spans="1:4" x14ac:dyDescent="0.15">
      <c r="A4" s="50">
        <v>3</v>
      </c>
      <c r="B4" s="213">
        <v>1069000</v>
      </c>
      <c r="C4" s="213" t="s">
        <v>53</v>
      </c>
      <c r="D4" s="50" t="s">
        <v>82</v>
      </c>
    </row>
    <row r="5" spans="1:4" x14ac:dyDescent="0.15">
      <c r="A5" s="50">
        <v>4</v>
      </c>
      <c r="B5" s="213">
        <v>1070000</v>
      </c>
      <c r="C5" s="213" t="s">
        <v>53</v>
      </c>
      <c r="D5" s="50" t="s">
        <v>83</v>
      </c>
    </row>
    <row r="6" spans="1:4" x14ac:dyDescent="0.15">
      <c r="A6" s="50">
        <v>5</v>
      </c>
      <c r="B6" s="213">
        <v>1072000</v>
      </c>
      <c r="C6" s="213" t="s">
        <v>53</v>
      </c>
      <c r="D6" s="50" t="s">
        <v>84</v>
      </c>
    </row>
    <row r="7" spans="1:4" x14ac:dyDescent="0.15">
      <c r="A7" s="50">
        <v>6</v>
      </c>
      <c r="B7" s="213">
        <v>1074000</v>
      </c>
      <c r="C7" s="213" t="s">
        <v>53</v>
      </c>
      <c r="D7" s="50" t="s">
        <v>85</v>
      </c>
    </row>
    <row r="8" spans="1:4" x14ac:dyDescent="0.15">
      <c r="A8" s="50">
        <v>7</v>
      </c>
      <c r="B8" s="379" t="s">
        <v>593</v>
      </c>
      <c r="C8" s="50" t="s">
        <v>78</v>
      </c>
      <c r="D8" s="50" t="s">
        <v>86</v>
      </c>
    </row>
    <row r="9" spans="1:4" x14ac:dyDescent="0.15">
      <c r="A9" s="50">
        <v>8</v>
      </c>
      <c r="B9" s="379" t="s">
        <v>594</v>
      </c>
      <c r="C9" s="50" t="s">
        <v>78</v>
      </c>
      <c r="D9" s="50" t="s">
        <v>87</v>
      </c>
    </row>
    <row r="10" spans="1:4" x14ac:dyDescent="0.15">
      <c r="A10" s="50">
        <v>9</v>
      </c>
      <c r="B10" s="379" t="s">
        <v>595</v>
      </c>
      <c r="C10" s="50" t="s">
        <v>78</v>
      </c>
      <c r="D10" s="50" t="s">
        <v>88</v>
      </c>
    </row>
    <row r="11" spans="1:4" x14ac:dyDescent="0.15">
      <c r="A11" s="50">
        <v>10</v>
      </c>
      <c r="B11" s="379" t="s">
        <v>596</v>
      </c>
      <c r="C11" s="50" t="s">
        <v>78</v>
      </c>
      <c r="D11" s="213" t="s">
        <v>597</v>
      </c>
    </row>
    <row r="12" spans="1:4" x14ac:dyDescent="0.15">
      <c r="A12" s="50">
        <v>11</v>
      </c>
      <c r="B12" s="379" t="s">
        <v>598</v>
      </c>
      <c r="C12" s="50" t="s">
        <v>78</v>
      </c>
      <c r="D12" s="213" t="s">
        <v>599</v>
      </c>
    </row>
    <row r="13" spans="1:4" x14ac:dyDescent="0.15">
      <c r="A13" s="213">
        <v>12</v>
      </c>
      <c r="B13" s="379">
        <v>550000</v>
      </c>
      <c r="C13" s="213" t="s">
        <v>53</v>
      </c>
      <c r="D13" s="213" t="s">
        <v>600</v>
      </c>
    </row>
    <row r="14" spans="1:4" x14ac:dyDescent="0.15">
      <c r="A14" s="213">
        <v>13</v>
      </c>
      <c r="B14" s="379">
        <v>-100000</v>
      </c>
      <c r="C14" s="213" t="s">
        <v>53</v>
      </c>
      <c r="D14" s="213" t="s">
        <v>601</v>
      </c>
    </row>
    <row r="15" spans="1:4" x14ac:dyDescent="0.15">
      <c r="A15" s="213">
        <v>14</v>
      </c>
      <c r="B15" s="379">
        <v>80000</v>
      </c>
      <c r="C15" s="213" t="s">
        <v>53</v>
      </c>
      <c r="D15" s="213" t="s">
        <v>602</v>
      </c>
    </row>
    <row r="16" spans="1:4" x14ac:dyDescent="0.15">
      <c r="A16" s="213">
        <v>15</v>
      </c>
      <c r="B16" s="379">
        <v>440000</v>
      </c>
      <c r="C16" s="213" t="s">
        <v>53</v>
      </c>
      <c r="D16" s="213" t="s">
        <v>603</v>
      </c>
    </row>
    <row r="17" spans="1:4" x14ac:dyDescent="0.15">
      <c r="A17" s="213">
        <v>16</v>
      </c>
      <c r="B17" s="379">
        <v>1100000</v>
      </c>
      <c r="C17" s="213" t="s">
        <v>53</v>
      </c>
      <c r="D17" s="213" t="s">
        <v>604</v>
      </c>
    </row>
    <row r="18" spans="1:4" x14ac:dyDescent="0.15">
      <c r="A18" s="213">
        <v>17</v>
      </c>
      <c r="B18" s="379">
        <v>1950000</v>
      </c>
      <c r="C18" s="213" t="s">
        <v>53</v>
      </c>
      <c r="D18" s="213" t="s">
        <v>605</v>
      </c>
    </row>
    <row r="19" spans="1:4" x14ac:dyDescent="0.15">
      <c r="A19" s="213">
        <v>18</v>
      </c>
      <c r="B19" s="379">
        <v>0.6</v>
      </c>
      <c r="C19" s="213" t="s">
        <v>53</v>
      </c>
      <c r="D19" s="213" t="s">
        <v>601</v>
      </c>
    </row>
    <row r="20" spans="1:4" x14ac:dyDescent="0.15">
      <c r="A20" s="213">
        <v>19</v>
      </c>
      <c r="B20" s="379">
        <v>0.7</v>
      </c>
      <c r="C20" s="213" t="s">
        <v>53</v>
      </c>
      <c r="D20" s="213" t="s">
        <v>602</v>
      </c>
    </row>
    <row r="21" spans="1:4" x14ac:dyDescent="0.15">
      <c r="A21" s="213">
        <v>20</v>
      </c>
      <c r="B21" s="379">
        <v>0.8</v>
      </c>
      <c r="C21" s="213" t="s">
        <v>53</v>
      </c>
      <c r="D21" s="213" t="s">
        <v>603</v>
      </c>
    </row>
    <row r="22" spans="1:4" x14ac:dyDescent="0.15">
      <c r="A22" s="213">
        <v>21</v>
      </c>
      <c r="B22" s="379">
        <v>0.9</v>
      </c>
      <c r="C22" s="213" t="s">
        <v>53</v>
      </c>
      <c r="D22" s="213" t="s">
        <v>604</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9"/>
  <sheetViews>
    <sheetView topLeftCell="A25" zoomScaleNormal="100" workbookViewId="0">
      <selection activeCell="B57" sqref="B57"/>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89">
        <v>56</v>
      </c>
      <c r="B57" s="389">
        <v>650000</v>
      </c>
      <c r="C57" s="389" t="s">
        <v>53</v>
      </c>
      <c r="D57" s="392" t="s">
        <v>164</v>
      </c>
    </row>
    <row r="58" spans="1:4" x14ac:dyDescent="0.15">
      <c r="A58" s="392">
        <v>57</v>
      </c>
      <c r="B58" s="392">
        <v>290000</v>
      </c>
      <c r="C58" s="392" t="s">
        <v>53</v>
      </c>
      <c r="D58" s="392" t="s">
        <v>611</v>
      </c>
    </row>
    <row r="59" spans="1:4" x14ac:dyDescent="0.15">
      <c r="A59" s="392">
        <v>58</v>
      </c>
      <c r="B59" s="392">
        <v>150000</v>
      </c>
      <c r="C59" s="392" t="s">
        <v>53</v>
      </c>
      <c r="D59" s="392" t="s">
        <v>612</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3"/>
  <sheetViews>
    <sheetView topLeftCell="A18"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12"/>
  <sheetViews>
    <sheetView workbookViewId="0">
      <selection activeCell="F13" sqref="F13"/>
    </sheetView>
  </sheetViews>
  <sheetFormatPr defaultRowHeight="13.5" x14ac:dyDescent="0.15"/>
  <cols>
    <col min="1" max="1" width="11.625" bestFit="1" customWidth="1"/>
  </cols>
  <sheetData>
    <row r="1" spans="1:2" x14ac:dyDescent="0.15">
      <c r="A1" t="s">
        <v>583</v>
      </c>
    </row>
    <row r="2" spans="1:2" x14ac:dyDescent="0.15">
      <c r="A2" s="378">
        <v>43556</v>
      </c>
      <c r="B2" t="s">
        <v>584</v>
      </c>
    </row>
    <row r="3" spans="1:2" x14ac:dyDescent="0.15">
      <c r="A3" s="378">
        <v>43840</v>
      </c>
      <c r="B3" t="s">
        <v>585</v>
      </c>
    </row>
    <row r="4" spans="1:2" x14ac:dyDescent="0.15">
      <c r="A4" s="378">
        <v>44056</v>
      </c>
      <c r="B4" t="s">
        <v>586</v>
      </c>
    </row>
    <row r="5" spans="1:2" x14ac:dyDescent="0.15">
      <c r="A5" s="378">
        <v>44200</v>
      </c>
      <c r="B5" t="s">
        <v>587</v>
      </c>
    </row>
    <row r="6" spans="1:2" x14ac:dyDescent="0.15">
      <c r="A6" s="378">
        <v>44273</v>
      </c>
      <c r="B6" t="s">
        <v>616</v>
      </c>
    </row>
    <row r="7" spans="1:2" x14ac:dyDescent="0.15">
      <c r="A7" s="378">
        <v>44287</v>
      </c>
      <c r="B7" t="s">
        <v>638</v>
      </c>
    </row>
    <row r="8" spans="1:2" x14ac:dyDescent="0.15">
      <c r="A8" s="378">
        <v>44652</v>
      </c>
      <c r="B8" t="s">
        <v>650</v>
      </c>
    </row>
    <row r="9" spans="1:2" x14ac:dyDescent="0.15">
      <c r="A9" s="378">
        <v>44753</v>
      </c>
      <c r="B9" t="s">
        <v>869</v>
      </c>
    </row>
    <row r="10" spans="1:2" x14ac:dyDescent="0.15">
      <c r="A10" s="378">
        <v>44986</v>
      </c>
      <c r="B10" t="s">
        <v>929</v>
      </c>
    </row>
    <row r="11" spans="1:2" x14ac:dyDescent="0.15">
      <c r="A11" s="378">
        <v>45243</v>
      </c>
      <c r="B11" t="s">
        <v>941</v>
      </c>
    </row>
    <row r="12" spans="1:2" x14ac:dyDescent="0.15">
      <c r="A12" s="417">
        <v>45285</v>
      </c>
      <c r="B12" s="418" t="s">
        <v>943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3" customWidth="1"/>
    <col min="2" max="2" width="34.625" style="233" customWidth="1"/>
    <col min="3" max="3" width="0.625" style="233" customWidth="1"/>
    <col min="4" max="4" width="16.625" style="233" customWidth="1"/>
    <col min="5" max="5" width="4.75" style="233" bestFit="1" customWidth="1"/>
    <col min="6" max="6" width="4.125" style="233" customWidth="1"/>
    <col min="7" max="7" width="2.5" style="233" customWidth="1"/>
    <col min="8" max="8" width="16.625" style="233" customWidth="1"/>
    <col min="9" max="9" width="4.75" style="233" bestFit="1" customWidth="1"/>
    <col min="10" max="10" width="0.625" style="233" customWidth="1"/>
    <col min="11" max="11" width="4.875" style="233" customWidth="1"/>
    <col min="12" max="21" width="9" style="233"/>
    <col min="22" max="22" width="4.25" style="233" customWidth="1"/>
    <col min="23" max="16384" width="9" style="233"/>
  </cols>
  <sheetData>
    <row r="1" spans="1:22" x14ac:dyDescent="0.15">
      <c r="A1" s="431" t="s">
        <v>506</v>
      </c>
      <c r="B1" s="431"/>
      <c r="C1" s="431"/>
      <c r="D1" s="431"/>
      <c r="E1" s="431"/>
      <c r="F1" s="431"/>
      <c r="G1" s="431"/>
      <c r="H1" s="431"/>
      <c r="I1" s="431"/>
      <c r="K1" s="234"/>
      <c r="L1" s="431" t="s">
        <v>367</v>
      </c>
      <c r="M1" s="431"/>
      <c r="N1" s="431"/>
      <c r="O1" s="431"/>
      <c r="P1" s="431"/>
      <c r="Q1" s="431"/>
      <c r="R1" s="431"/>
      <c r="S1" s="431"/>
      <c r="T1" s="431"/>
      <c r="U1" s="431"/>
      <c r="V1" s="431"/>
    </row>
    <row r="2" spans="1:22" ht="6" customHeight="1" x14ac:dyDescent="0.15">
      <c r="A2" s="235"/>
      <c r="B2" s="235"/>
      <c r="C2" s="235"/>
      <c r="D2" s="235"/>
      <c r="E2" s="235"/>
      <c r="F2" s="235"/>
      <c r="G2" s="235"/>
      <c r="H2" s="235"/>
      <c r="I2" s="235"/>
      <c r="K2" s="234"/>
    </row>
    <row r="3" spans="1:22" x14ac:dyDescent="0.15">
      <c r="A3" s="236" t="s">
        <v>300</v>
      </c>
      <c r="C3" s="235"/>
      <c r="D3" s="235"/>
      <c r="E3" s="235"/>
      <c r="F3" s="235"/>
      <c r="G3" s="235"/>
      <c r="H3" s="235"/>
      <c r="I3" s="235"/>
      <c r="K3" s="234"/>
      <c r="L3" s="386" t="s">
        <v>618</v>
      </c>
      <c r="M3" s="190"/>
      <c r="N3" s="190"/>
      <c r="O3" s="190"/>
      <c r="P3" s="190"/>
      <c r="Q3" s="190"/>
      <c r="R3" s="190"/>
      <c r="S3" s="190"/>
      <c r="T3" s="190"/>
      <c r="U3" s="190"/>
      <c r="V3" s="190"/>
    </row>
    <row r="4" spans="1:22" ht="9.75" customHeight="1" x14ac:dyDescent="0.15">
      <c r="A4" s="235"/>
      <c r="B4" s="236"/>
      <c r="C4" s="235"/>
      <c r="D4" s="235"/>
      <c r="E4" s="235"/>
      <c r="F4" s="235"/>
      <c r="G4" s="235"/>
      <c r="H4" s="235"/>
      <c r="I4" s="235"/>
      <c r="K4" s="234"/>
      <c r="L4" s="433" t="s">
        <v>617</v>
      </c>
      <c r="M4" s="434"/>
      <c r="N4" s="434"/>
      <c r="O4" s="434"/>
      <c r="P4" s="434"/>
      <c r="Q4" s="434"/>
      <c r="R4" s="434"/>
      <c r="S4" s="434"/>
      <c r="T4" s="434"/>
      <c r="U4" s="434"/>
      <c r="V4" s="434"/>
    </row>
    <row r="5" spans="1:22" ht="13.5" customHeight="1" x14ac:dyDescent="0.15">
      <c r="A5" s="235"/>
      <c r="B5" s="435" t="s">
        <v>427</v>
      </c>
      <c r="C5" s="435"/>
      <c r="D5" s="435"/>
      <c r="E5" s="435"/>
      <c r="F5" s="435"/>
      <c r="G5" s="435"/>
      <c r="H5" s="435"/>
      <c r="I5" s="435"/>
      <c r="K5" s="234"/>
      <c r="L5" s="433"/>
      <c r="M5" s="434"/>
      <c r="N5" s="434"/>
      <c r="O5" s="434"/>
      <c r="P5" s="434"/>
      <c r="Q5" s="434"/>
      <c r="R5" s="434"/>
      <c r="S5" s="434"/>
      <c r="T5" s="434"/>
      <c r="U5" s="434"/>
      <c r="V5" s="434"/>
    </row>
    <row r="6" spans="1:22" x14ac:dyDescent="0.15">
      <c r="A6" s="235"/>
      <c r="B6" s="435"/>
      <c r="C6" s="435"/>
      <c r="D6" s="435"/>
      <c r="E6" s="435"/>
      <c r="F6" s="435"/>
      <c r="G6" s="435"/>
      <c r="H6" s="435"/>
      <c r="I6" s="435"/>
      <c r="K6" s="234"/>
      <c r="L6" s="433"/>
      <c r="M6" s="434"/>
      <c r="N6" s="434"/>
      <c r="O6" s="434"/>
      <c r="P6" s="434"/>
      <c r="Q6" s="434"/>
      <c r="R6" s="434"/>
      <c r="S6" s="434"/>
      <c r="T6" s="434"/>
      <c r="U6" s="434"/>
      <c r="V6" s="434"/>
    </row>
    <row r="7" spans="1:22" ht="13.5" customHeight="1" x14ac:dyDescent="0.15">
      <c r="A7" s="235"/>
      <c r="B7" s="237"/>
      <c r="C7" s="237"/>
      <c r="D7" s="237"/>
      <c r="E7" s="237"/>
      <c r="F7" s="237"/>
      <c r="G7" s="237"/>
      <c r="H7" s="237"/>
      <c r="I7" s="237"/>
      <c r="K7" s="234"/>
      <c r="L7" s="433" t="s">
        <v>401</v>
      </c>
      <c r="M7" s="434"/>
      <c r="N7" s="434"/>
      <c r="O7" s="434"/>
      <c r="P7" s="434"/>
      <c r="Q7" s="434"/>
      <c r="R7" s="434"/>
      <c r="S7" s="434"/>
      <c r="T7" s="434"/>
      <c r="U7" s="434"/>
      <c r="V7" s="434"/>
    </row>
    <row r="8" spans="1:22" ht="14.25" thickBot="1" x14ac:dyDescent="0.2">
      <c r="A8" s="235"/>
      <c r="B8" s="237"/>
      <c r="C8" s="237"/>
      <c r="D8" s="237"/>
      <c r="E8" s="432" t="s">
        <v>392</v>
      </c>
      <c r="F8" s="432"/>
      <c r="G8" s="432"/>
      <c r="H8" s="238">
        <v>44044</v>
      </c>
      <c r="I8" s="237"/>
      <c r="K8" s="234"/>
      <c r="L8" s="433"/>
      <c r="M8" s="434"/>
      <c r="N8" s="434"/>
      <c r="O8" s="434"/>
      <c r="P8" s="434"/>
      <c r="Q8" s="434"/>
      <c r="R8" s="434"/>
      <c r="S8" s="434"/>
      <c r="T8" s="434"/>
      <c r="U8" s="434"/>
      <c r="V8" s="434"/>
    </row>
    <row r="9" spans="1:22" ht="13.5" customHeight="1" x14ac:dyDescent="0.15">
      <c r="A9" s="235"/>
      <c r="B9" s="235"/>
      <c r="C9" s="235"/>
      <c r="D9" s="235"/>
      <c r="E9" s="216"/>
      <c r="F9" s="216"/>
      <c r="G9" s="216"/>
      <c r="H9" s="239" t="s">
        <v>391</v>
      </c>
      <c r="I9" s="240"/>
      <c r="K9" s="234"/>
      <c r="L9" s="433" t="s">
        <v>426</v>
      </c>
      <c r="M9" s="434"/>
      <c r="N9" s="434"/>
      <c r="O9" s="434"/>
      <c r="P9" s="434"/>
      <c r="Q9" s="434"/>
      <c r="R9" s="434"/>
      <c r="S9" s="434"/>
      <c r="T9" s="434"/>
      <c r="U9" s="434"/>
      <c r="V9" s="434"/>
    </row>
    <row r="10" spans="1:22" ht="13.5" customHeight="1" thickBot="1" x14ac:dyDescent="0.2">
      <c r="A10" s="235"/>
      <c r="B10" s="241" t="s">
        <v>410</v>
      </c>
      <c r="C10" s="242"/>
      <c r="D10" s="243">
        <v>2020</v>
      </c>
      <c r="E10" s="437" t="s">
        <v>407</v>
      </c>
      <c r="F10" s="437"/>
      <c r="G10" s="437"/>
      <c r="H10" s="244" t="s">
        <v>409</v>
      </c>
      <c r="I10" s="240"/>
      <c r="K10" s="234"/>
      <c r="L10" s="433"/>
      <c r="M10" s="434"/>
      <c r="N10" s="434"/>
      <c r="O10" s="434"/>
      <c r="P10" s="434"/>
      <c r="Q10" s="434"/>
      <c r="R10" s="434"/>
      <c r="S10" s="434"/>
      <c r="T10" s="434"/>
      <c r="U10" s="434"/>
      <c r="V10" s="434"/>
    </row>
    <row r="11" spans="1:22" ht="14.25" customHeight="1" thickBot="1" x14ac:dyDescent="0.2">
      <c r="A11" s="235"/>
      <c r="B11" s="245" t="s">
        <v>428</v>
      </c>
      <c r="C11" s="246"/>
      <c r="D11" s="225"/>
      <c r="E11" s="247"/>
      <c r="F11" s="247"/>
      <c r="G11" s="247"/>
      <c r="H11" s="226"/>
      <c r="I11" s="240"/>
      <c r="K11" s="234"/>
      <c r="L11" s="433"/>
      <c r="M11" s="434"/>
      <c r="N11" s="434"/>
      <c r="O11" s="434"/>
      <c r="P11" s="434"/>
      <c r="Q11" s="434"/>
      <c r="R11" s="434"/>
      <c r="S11" s="434"/>
      <c r="T11" s="434"/>
      <c r="U11" s="434"/>
      <c r="V11" s="434"/>
    </row>
    <row r="12" spans="1:22" ht="14.25" customHeight="1" thickBot="1" x14ac:dyDescent="0.2">
      <c r="B12" s="245" t="s">
        <v>429</v>
      </c>
      <c r="C12" s="246"/>
      <c r="D12" s="246" t="s">
        <v>376</v>
      </c>
      <c r="E12" s="436" t="s">
        <v>393</v>
      </c>
      <c r="F12" s="436"/>
      <c r="G12" s="436"/>
      <c r="H12" s="238">
        <v>37072</v>
      </c>
      <c r="K12" s="234"/>
      <c r="L12" s="433" t="s">
        <v>423</v>
      </c>
      <c r="M12" s="434"/>
      <c r="N12" s="434"/>
      <c r="O12" s="434"/>
      <c r="P12" s="434"/>
      <c r="Q12" s="434"/>
      <c r="R12" s="434"/>
      <c r="S12" s="434"/>
      <c r="T12" s="434"/>
      <c r="U12" s="434"/>
      <c r="V12" s="434"/>
    </row>
    <row r="13" spans="1:22" ht="14.25" customHeight="1" thickBot="1" x14ac:dyDescent="0.2">
      <c r="B13" s="248" t="s">
        <v>276</v>
      </c>
      <c r="C13" s="192"/>
      <c r="D13" s="192" t="s">
        <v>377</v>
      </c>
      <c r="E13" s="216"/>
      <c r="F13" s="216"/>
      <c r="G13" s="216"/>
      <c r="H13" s="239" t="s">
        <v>391</v>
      </c>
      <c r="K13" s="234"/>
      <c r="L13" s="433"/>
      <c r="M13" s="434"/>
      <c r="N13" s="434"/>
      <c r="O13" s="434"/>
      <c r="P13" s="434"/>
      <c r="Q13" s="434"/>
      <c r="R13" s="434"/>
      <c r="S13" s="434"/>
      <c r="T13" s="434"/>
      <c r="U13" s="434"/>
      <c r="V13" s="434"/>
    </row>
    <row r="14" spans="1:22" ht="14.25" customHeight="1" thickBot="1" x14ac:dyDescent="0.2">
      <c r="B14" s="248" t="s">
        <v>277</v>
      </c>
      <c r="C14" s="192"/>
      <c r="D14" s="192" t="s">
        <v>378</v>
      </c>
      <c r="E14" s="202"/>
      <c r="F14" s="202"/>
      <c r="G14" s="202"/>
      <c r="H14" s="202"/>
      <c r="K14" s="234"/>
      <c r="L14" s="433"/>
      <c r="M14" s="434"/>
      <c r="N14" s="434"/>
      <c r="O14" s="434"/>
      <c r="P14" s="434"/>
      <c r="Q14" s="434"/>
      <c r="R14" s="434"/>
      <c r="S14" s="434"/>
      <c r="T14" s="434"/>
      <c r="U14" s="434"/>
      <c r="V14" s="434"/>
    </row>
    <row r="15" spans="1:22" x14ac:dyDescent="0.15">
      <c r="B15" s="249" t="str">
        <f>"※ 以下、収入（所得）は【"&amp;IF(計算シート!C49=1,計算シート!C47,計算シート!C48)&amp;"年1月1日～12月31日】のものを入力してください。"</f>
        <v>※ 以下、収入（所得）は【2022年1月1日～12月31日】のものを入力してください。</v>
      </c>
      <c r="C15" s="216"/>
      <c r="D15" s="216"/>
      <c r="E15" s="202"/>
      <c r="F15" s="202"/>
      <c r="G15" s="202"/>
      <c r="H15" s="202"/>
      <c r="K15" s="234"/>
      <c r="L15" s="433" t="s">
        <v>368</v>
      </c>
      <c r="M15" s="434"/>
      <c r="N15" s="434"/>
      <c r="O15" s="434"/>
      <c r="P15" s="434"/>
      <c r="Q15" s="434"/>
      <c r="R15" s="434"/>
      <c r="S15" s="434"/>
      <c r="T15" s="434"/>
      <c r="U15" s="434"/>
      <c r="V15" s="434"/>
    </row>
    <row r="16" spans="1:22" x14ac:dyDescent="0.15">
      <c r="B16" s="249" t="str">
        <f>"    扶養等の情報は【"&amp;IF(計算シート!C49=1,計算シート!C47,計算シート!C48)&amp;"年12月31日】現在のものを入力してください。"</f>
        <v xml:space="preserve">    扶養等の情報は【2022年12月31日】現在のものを入力してください。</v>
      </c>
      <c r="C16" s="216"/>
      <c r="D16" s="216"/>
      <c r="E16" s="202"/>
      <c r="F16" s="202"/>
      <c r="G16" s="202"/>
      <c r="H16" s="202"/>
      <c r="K16" s="234"/>
      <c r="L16" s="433"/>
      <c r="M16" s="434"/>
      <c r="N16" s="434"/>
      <c r="O16" s="434"/>
      <c r="P16" s="434"/>
      <c r="Q16" s="434"/>
      <c r="R16" s="434"/>
      <c r="S16" s="434"/>
      <c r="T16" s="434"/>
      <c r="U16" s="434"/>
      <c r="V16" s="434"/>
    </row>
    <row r="17" spans="1:22" ht="7.5" customHeight="1" thickBot="1" x14ac:dyDescent="0.2">
      <c r="A17" s="250"/>
      <c r="B17" s="250"/>
      <c r="C17" s="250"/>
      <c r="D17" s="250"/>
      <c r="E17" s="250"/>
      <c r="K17" s="234"/>
      <c r="L17" s="433"/>
      <c r="M17" s="434"/>
      <c r="N17" s="434"/>
      <c r="O17" s="434"/>
      <c r="P17" s="434"/>
      <c r="Q17" s="434"/>
      <c r="R17" s="434"/>
      <c r="S17" s="434"/>
      <c r="T17" s="434"/>
      <c r="U17" s="434"/>
      <c r="V17" s="434"/>
    </row>
    <row r="18" spans="1:22" s="254" customFormat="1" ht="15.6" customHeight="1" thickTop="1" x14ac:dyDescent="0.15">
      <c r="A18" s="251" t="s">
        <v>421</v>
      </c>
      <c r="B18" s="252"/>
      <c r="C18" s="252"/>
      <c r="D18" s="252"/>
      <c r="E18" s="253"/>
      <c r="G18" s="255" t="s">
        <v>379</v>
      </c>
      <c r="H18" s="256"/>
      <c r="I18" s="253"/>
      <c r="K18" s="257"/>
      <c r="L18" s="433"/>
      <c r="M18" s="434"/>
      <c r="N18" s="434"/>
      <c r="O18" s="434"/>
      <c r="P18" s="434"/>
      <c r="Q18" s="434"/>
      <c r="R18" s="434"/>
      <c r="S18" s="434"/>
      <c r="T18" s="434"/>
      <c r="U18" s="434"/>
      <c r="V18" s="434"/>
    </row>
    <row r="19" spans="1:22" s="254" customFormat="1" ht="12.95" customHeight="1" thickBot="1" x14ac:dyDescent="0.2">
      <c r="A19" s="258" t="s">
        <v>319</v>
      </c>
      <c r="B19" s="259" t="s">
        <v>413</v>
      </c>
      <c r="C19" s="382"/>
      <c r="D19" s="383">
        <f>H12</f>
        <v>37072</v>
      </c>
      <c r="E19" s="264"/>
      <c r="G19" s="262" t="s">
        <v>380</v>
      </c>
      <c r="H19" s="263"/>
      <c r="I19" s="264"/>
      <c r="K19" s="257"/>
      <c r="L19" s="385" t="s">
        <v>619</v>
      </c>
      <c r="M19" s="211"/>
      <c r="N19" s="211"/>
      <c r="O19" s="211"/>
      <c r="P19" s="211"/>
      <c r="Q19" s="211"/>
      <c r="R19" s="211"/>
      <c r="S19" s="211"/>
      <c r="T19" s="211"/>
      <c r="U19" s="211"/>
      <c r="V19" s="211"/>
    </row>
    <row r="20" spans="1:22" s="254" customFormat="1" ht="12.95" customHeight="1" thickBot="1" x14ac:dyDescent="0.2">
      <c r="A20" s="265" t="s">
        <v>320</v>
      </c>
      <c r="B20" s="266" t="s">
        <v>295</v>
      </c>
      <c r="D20" s="267" t="s">
        <v>38</v>
      </c>
      <c r="E20" s="264"/>
      <c r="G20" s="262" t="s">
        <v>381</v>
      </c>
      <c r="H20" s="263"/>
      <c r="I20" s="264"/>
      <c r="K20" s="257"/>
      <c r="L20" s="280" t="s">
        <v>620</v>
      </c>
      <c r="M20" s="211"/>
      <c r="N20" s="211"/>
      <c r="O20" s="211"/>
      <c r="P20" s="211"/>
      <c r="Q20" s="211"/>
      <c r="R20" s="211"/>
      <c r="S20" s="211"/>
      <c r="T20" s="211"/>
      <c r="U20" s="211"/>
      <c r="V20" s="211"/>
    </row>
    <row r="21" spans="1:22" s="254" customFormat="1" ht="12.95" customHeight="1" thickBot="1" x14ac:dyDescent="0.2">
      <c r="A21" s="265" t="s">
        <v>321</v>
      </c>
      <c r="B21" s="254" t="s">
        <v>296</v>
      </c>
      <c r="C21" s="268"/>
      <c r="D21" s="269" t="s">
        <v>266</v>
      </c>
      <c r="E21" s="264"/>
      <c r="G21" s="262" t="s">
        <v>382</v>
      </c>
      <c r="H21" s="263"/>
      <c r="I21" s="264"/>
      <c r="K21" s="257"/>
      <c r="L21" s="385" t="s">
        <v>621</v>
      </c>
      <c r="M21" s="211"/>
      <c r="N21" s="211"/>
      <c r="O21" s="211"/>
      <c r="P21" s="211"/>
      <c r="Q21" s="211"/>
      <c r="R21" s="211"/>
      <c r="S21" s="211"/>
      <c r="T21" s="211"/>
      <c r="U21" s="211"/>
      <c r="V21" s="211"/>
    </row>
    <row r="22" spans="1:22" s="254" customFormat="1" ht="12.95" customHeight="1" thickBot="1" x14ac:dyDescent="0.2">
      <c r="A22" s="265" t="s">
        <v>322</v>
      </c>
      <c r="B22" s="270" t="s">
        <v>297</v>
      </c>
      <c r="C22" s="268"/>
      <c r="D22" s="271" t="s">
        <v>42</v>
      </c>
      <c r="E22" s="264"/>
      <c r="G22" s="272">
        <v>1</v>
      </c>
      <c r="H22" s="273" t="s">
        <v>383</v>
      </c>
      <c r="I22" s="274" t="s">
        <v>384</v>
      </c>
      <c r="K22" s="257"/>
      <c r="L22" s="385" t="s">
        <v>626</v>
      </c>
      <c r="M22" s="211"/>
      <c r="N22" s="211"/>
      <c r="O22" s="211"/>
      <c r="P22" s="211"/>
      <c r="Q22" s="211"/>
      <c r="R22" s="211"/>
      <c r="S22" s="211"/>
      <c r="T22" s="211"/>
      <c r="U22" s="211"/>
      <c r="V22" s="211"/>
    </row>
    <row r="23" spans="1:22" s="254" customFormat="1" ht="12.95" customHeight="1" thickBot="1" x14ac:dyDescent="0.2">
      <c r="A23" s="265" t="s">
        <v>323</v>
      </c>
      <c r="B23" s="275" t="s">
        <v>430</v>
      </c>
      <c r="C23" s="276"/>
      <c r="D23" s="267" t="s">
        <v>40</v>
      </c>
      <c r="E23" s="264"/>
      <c r="G23" s="272">
        <v>2</v>
      </c>
      <c r="H23" s="277" t="s">
        <v>390</v>
      </c>
      <c r="I23" s="274" t="s">
        <v>509</v>
      </c>
      <c r="K23" s="257"/>
      <c r="L23" s="385" t="s">
        <v>622</v>
      </c>
      <c r="M23" s="211"/>
      <c r="N23" s="211"/>
      <c r="O23" s="211"/>
      <c r="P23" s="211"/>
      <c r="Q23" s="211"/>
      <c r="R23" s="211"/>
      <c r="S23" s="211"/>
      <c r="T23" s="211"/>
      <c r="U23" s="211"/>
      <c r="V23" s="211"/>
    </row>
    <row r="24" spans="1:22" s="254" customFormat="1" ht="12.95" customHeight="1" thickBot="1" x14ac:dyDescent="0.2">
      <c r="A24" s="265" t="s">
        <v>324</v>
      </c>
      <c r="B24" s="278" t="s">
        <v>280</v>
      </c>
      <c r="C24" s="276"/>
      <c r="D24" s="271" t="s">
        <v>49</v>
      </c>
      <c r="E24" s="264"/>
      <c r="G24" s="272">
        <v>3</v>
      </c>
      <c r="H24" s="273" t="s">
        <v>389</v>
      </c>
      <c r="I24" s="274" t="s">
        <v>509</v>
      </c>
      <c r="K24" s="257"/>
      <c r="L24" s="433" t="s">
        <v>627</v>
      </c>
      <c r="M24" s="434"/>
      <c r="N24" s="434"/>
      <c r="O24" s="434"/>
      <c r="P24" s="434"/>
      <c r="Q24" s="434"/>
      <c r="R24" s="434"/>
      <c r="S24" s="434"/>
      <c r="T24" s="434"/>
      <c r="U24" s="434"/>
      <c r="V24" s="434"/>
    </row>
    <row r="25" spans="1:22" s="254" customFormat="1" ht="12.95" customHeight="1" thickBot="1" x14ac:dyDescent="0.2">
      <c r="A25" s="265" t="s">
        <v>325</v>
      </c>
      <c r="B25" s="254" t="s">
        <v>281</v>
      </c>
      <c r="D25" s="279">
        <v>0</v>
      </c>
      <c r="E25" s="261" t="s">
        <v>510</v>
      </c>
      <c r="G25" s="272">
        <v>4</v>
      </c>
      <c r="H25" s="273" t="s">
        <v>388</v>
      </c>
      <c r="I25" s="274" t="s">
        <v>511</v>
      </c>
      <c r="K25" s="257"/>
      <c r="L25" s="433"/>
      <c r="M25" s="434"/>
      <c r="N25" s="434"/>
      <c r="O25" s="434"/>
      <c r="P25" s="434"/>
      <c r="Q25" s="434"/>
      <c r="R25" s="434"/>
      <c r="S25" s="434"/>
      <c r="T25" s="434"/>
      <c r="U25" s="434"/>
      <c r="V25" s="434"/>
    </row>
    <row r="26" spans="1:22" s="254" customFormat="1" ht="12.95" customHeight="1" thickBot="1" x14ac:dyDescent="0.2">
      <c r="A26" s="265" t="s">
        <v>326</v>
      </c>
      <c r="B26" s="281" t="s">
        <v>308</v>
      </c>
      <c r="C26" s="276"/>
      <c r="D26" s="271" t="s">
        <v>49</v>
      </c>
      <c r="E26" s="264"/>
      <c r="G26" s="272">
        <v>5</v>
      </c>
      <c r="H26" s="273" t="s">
        <v>387</v>
      </c>
      <c r="I26" s="274" t="s">
        <v>509</v>
      </c>
      <c r="K26" s="257"/>
      <c r="L26" s="433"/>
      <c r="M26" s="434"/>
      <c r="N26" s="434"/>
      <c r="O26" s="434"/>
      <c r="P26" s="434"/>
      <c r="Q26" s="434"/>
      <c r="R26" s="434"/>
      <c r="S26" s="434"/>
      <c r="T26" s="434"/>
      <c r="U26" s="434"/>
      <c r="V26" s="434"/>
    </row>
    <row r="27" spans="1:22" s="254" customFormat="1" ht="12.95" customHeight="1" thickBot="1" x14ac:dyDescent="0.2">
      <c r="A27" s="282" t="s">
        <v>327</v>
      </c>
      <c r="B27" s="283" t="s">
        <v>309</v>
      </c>
      <c r="C27" s="284"/>
      <c r="D27" s="279">
        <v>0</v>
      </c>
      <c r="E27" s="285" t="s">
        <v>510</v>
      </c>
      <c r="G27" s="286"/>
      <c r="H27" s="287"/>
      <c r="I27" s="288"/>
      <c r="K27" s="257"/>
      <c r="L27" s="433"/>
      <c r="M27" s="434"/>
      <c r="N27" s="434"/>
      <c r="O27" s="434"/>
      <c r="P27" s="434"/>
      <c r="Q27" s="434"/>
      <c r="R27" s="434"/>
      <c r="S27" s="434"/>
      <c r="T27" s="434"/>
      <c r="U27" s="434"/>
      <c r="V27" s="434"/>
    </row>
    <row r="28" spans="1:22" s="254" customFormat="1" ht="3" customHeight="1" thickTop="1" x14ac:dyDescent="0.15">
      <c r="K28" s="257"/>
      <c r="L28" s="289"/>
      <c r="M28" s="190"/>
      <c r="N28" s="190"/>
      <c r="O28" s="190"/>
      <c r="P28" s="190"/>
      <c r="Q28" s="190"/>
      <c r="R28" s="190"/>
      <c r="S28" s="190"/>
      <c r="T28" s="190"/>
      <c r="U28" s="190"/>
      <c r="V28" s="190"/>
    </row>
    <row r="29" spans="1:22" s="254" customFormat="1" ht="14.1" customHeight="1" thickBot="1" x14ac:dyDescent="0.2">
      <c r="A29" s="290"/>
      <c r="B29" s="290"/>
      <c r="C29" s="291"/>
      <c r="D29" s="292" t="s">
        <v>38</v>
      </c>
      <c r="E29" s="293"/>
      <c r="F29" s="290"/>
      <c r="G29" s="291"/>
      <c r="H29" s="294" t="s">
        <v>512</v>
      </c>
      <c r="I29" s="295"/>
      <c r="J29" s="296"/>
      <c r="K29" s="257"/>
      <c r="L29" s="289"/>
      <c r="M29" s="289"/>
      <c r="N29" s="190"/>
      <c r="O29" s="190"/>
      <c r="P29" s="190"/>
      <c r="Q29" s="190"/>
      <c r="R29" s="190"/>
      <c r="S29" s="190"/>
      <c r="T29" s="190"/>
      <c r="U29" s="190"/>
      <c r="V29" s="190"/>
    </row>
    <row r="30" spans="1:22" s="254" customFormat="1" ht="15.6" customHeight="1" thickTop="1" thickBot="1" x14ac:dyDescent="0.2">
      <c r="A30" s="255" t="s">
        <v>282</v>
      </c>
      <c r="B30" s="263"/>
      <c r="C30" s="297"/>
      <c r="D30" s="263"/>
      <c r="E30" s="298"/>
      <c r="F30" s="263"/>
      <c r="G30" s="297"/>
      <c r="H30" s="299" t="s">
        <v>511</v>
      </c>
      <c r="I30" s="253"/>
      <c r="J30" s="300"/>
      <c r="K30" s="257"/>
      <c r="M30" s="289"/>
      <c r="N30" s="190"/>
      <c r="O30" s="190"/>
      <c r="P30" s="190"/>
      <c r="Q30" s="190"/>
      <c r="R30" s="190"/>
      <c r="S30" s="190"/>
      <c r="T30" s="190"/>
      <c r="U30" s="190"/>
      <c r="V30" s="190"/>
    </row>
    <row r="31" spans="1:22" s="254" customFormat="1" ht="12.95" customHeight="1" thickBot="1" x14ac:dyDescent="0.2">
      <c r="A31" s="301" t="s">
        <v>328</v>
      </c>
      <c r="B31" s="259" t="s">
        <v>412</v>
      </c>
      <c r="C31" s="302"/>
      <c r="D31" s="260">
        <v>22037</v>
      </c>
      <c r="E31" s="300"/>
      <c r="F31" s="303" t="s">
        <v>334</v>
      </c>
      <c r="G31" s="297"/>
      <c r="H31" s="260">
        <v>22037</v>
      </c>
      <c r="I31" s="261"/>
      <c r="J31" s="300"/>
      <c r="K31" s="257"/>
      <c r="L31" s="289"/>
      <c r="M31" s="289"/>
      <c r="N31" s="190"/>
      <c r="O31" s="190"/>
      <c r="P31" s="190"/>
      <c r="Q31" s="190"/>
      <c r="R31" s="190"/>
      <c r="S31" s="190"/>
      <c r="T31" s="190"/>
      <c r="U31" s="190"/>
      <c r="V31" s="190"/>
    </row>
    <row r="32" spans="1:22" s="254" customFormat="1" ht="12.95" customHeight="1" thickBot="1" x14ac:dyDescent="0.2">
      <c r="A32" s="304" t="s">
        <v>329</v>
      </c>
      <c r="B32" s="278" t="s">
        <v>312</v>
      </c>
      <c r="C32" s="302"/>
      <c r="D32" s="267" t="s">
        <v>40</v>
      </c>
      <c r="E32" s="298"/>
      <c r="F32" s="305"/>
      <c r="G32" s="297"/>
      <c r="H32" s="306"/>
      <c r="I32" s="264"/>
      <c r="J32" s="300"/>
      <c r="K32" s="257"/>
      <c r="L32" s="433" t="s">
        <v>424</v>
      </c>
      <c r="M32" s="441"/>
      <c r="N32" s="441"/>
      <c r="O32" s="441"/>
      <c r="P32" s="441"/>
      <c r="Q32" s="441"/>
      <c r="R32" s="441"/>
      <c r="S32" s="441"/>
      <c r="T32" s="441"/>
      <c r="U32" s="441"/>
      <c r="V32" s="441"/>
    </row>
    <row r="33" spans="1:22" s="254" customFormat="1" ht="12.95" customHeight="1" thickBot="1" x14ac:dyDescent="0.2">
      <c r="A33" s="304" t="s">
        <v>330</v>
      </c>
      <c r="B33" s="278" t="s">
        <v>431</v>
      </c>
      <c r="C33" s="302"/>
      <c r="D33" s="267" t="s">
        <v>40</v>
      </c>
      <c r="E33" s="298"/>
      <c r="F33" s="305"/>
      <c r="G33" s="297"/>
      <c r="H33" s="306"/>
      <c r="I33" s="264"/>
      <c r="J33" s="300"/>
      <c r="K33" s="257"/>
      <c r="L33" s="433"/>
      <c r="M33" s="441"/>
      <c r="N33" s="441"/>
      <c r="O33" s="441"/>
      <c r="P33" s="441"/>
      <c r="Q33" s="441"/>
      <c r="R33" s="441"/>
      <c r="S33" s="441"/>
      <c r="T33" s="441"/>
      <c r="U33" s="441"/>
      <c r="V33" s="441"/>
    </row>
    <row r="34" spans="1:22" s="254" customFormat="1" ht="12.95" customHeight="1" thickBot="1" x14ac:dyDescent="0.2">
      <c r="A34" s="304" t="s">
        <v>331</v>
      </c>
      <c r="B34" s="307" t="s">
        <v>315</v>
      </c>
      <c r="C34" s="308"/>
      <c r="D34" s="267" t="s">
        <v>40</v>
      </c>
      <c r="E34" s="298"/>
      <c r="F34" s="305"/>
      <c r="G34" s="297"/>
      <c r="H34" s="263"/>
      <c r="I34" s="264"/>
      <c r="J34" s="300"/>
      <c r="K34" s="257"/>
      <c r="L34" s="433"/>
      <c r="M34" s="441"/>
      <c r="N34" s="441"/>
      <c r="O34" s="441"/>
      <c r="P34" s="441"/>
      <c r="Q34" s="441"/>
      <c r="R34" s="441"/>
      <c r="S34" s="441"/>
      <c r="T34" s="441"/>
      <c r="U34" s="441"/>
      <c r="V34" s="441"/>
    </row>
    <row r="35" spans="1:22" s="254" customFormat="1" ht="12.95" customHeight="1" thickBot="1" x14ac:dyDescent="0.2">
      <c r="A35" s="304" t="s">
        <v>332</v>
      </c>
      <c r="B35" s="278" t="s">
        <v>296</v>
      </c>
      <c r="C35" s="302"/>
      <c r="D35" s="309" t="s">
        <v>44</v>
      </c>
      <c r="E35" s="298"/>
      <c r="F35" s="310" t="s">
        <v>335</v>
      </c>
      <c r="G35" s="297"/>
      <c r="H35" s="309" t="s">
        <v>44</v>
      </c>
      <c r="I35" s="264"/>
      <c r="J35" s="300"/>
      <c r="K35" s="257"/>
      <c r="L35" s="289" t="s">
        <v>374</v>
      </c>
      <c r="M35" s="289"/>
      <c r="N35" s="289"/>
      <c r="O35" s="289"/>
      <c r="P35" s="289"/>
      <c r="Q35" s="289"/>
      <c r="R35" s="289"/>
      <c r="S35" s="289"/>
      <c r="T35" s="289"/>
      <c r="U35" s="289"/>
      <c r="V35" s="289"/>
    </row>
    <row r="36" spans="1:22" s="254" customFormat="1" ht="12.95" customHeight="1" thickBot="1" x14ac:dyDescent="0.2">
      <c r="A36" s="311" t="s">
        <v>333</v>
      </c>
      <c r="B36" s="283" t="str">
        <f>IF(計算シート!C50=0,"寡婦または寡夫ですか","ひとり親ですか")</f>
        <v>ひとり親ですか</v>
      </c>
      <c r="C36" s="312"/>
      <c r="D36" s="309" t="s">
        <v>46</v>
      </c>
      <c r="E36" s="313"/>
      <c r="F36" s="287"/>
      <c r="G36" s="314"/>
      <c r="H36" s="315"/>
      <c r="I36" s="288"/>
      <c r="J36" s="300"/>
      <c r="K36" s="257"/>
      <c r="L36" s="289" t="s">
        <v>628</v>
      </c>
      <c r="M36" s="289"/>
      <c r="N36" s="289"/>
      <c r="O36" s="289"/>
      <c r="P36" s="289"/>
      <c r="Q36" s="289"/>
      <c r="R36" s="289"/>
      <c r="S36" s="289"/>
      <c r="T36" s="289"/>
      <c r="U36" s="289"/>
      <c r="V36" s="289"/>
    </row>
    <row r="37" spans="1:22" s="323" customFormat="1" ht="11.25" customHeight="1" thickTop="1" thickBot="1" x14ac:dyDescent="0.2">
      <c r="A37" s="316" t="s">
        <v>515</v>
      </c>
      <c r="B37" s="317"/>
      <c r="C37" s="318"/>
      <c r="D37" s="317"/>
      <c r="E37" s="319"/>
      <c r="F37" s="317"/>
      <c r="G37" s="318"/>
      <c r="H37" s="320"/>
      <c r="I37" s="317"/>
      <c r="J37" s="321"/>
      <c r="K37" s="322"/>
      <c r="L37" s="289"/>
      <c r="M37" s="289"/>
      <c r="N37" s="289"/>
      <c r="O37" s="289"/>
      <c r="P37" s="289"/>
      <c r="Q37" s="289"/>
      <c r="R37" s="289"/>
      <c r="S37" s="289"/>
      <c r="T37" s="289"/>
      <c r="U37" s="289"/>
      <c r="V37" s="289"/>
    </row>
    <row r="38" spans="1:22" s="254" customFormat="1" ht="15.6" customHeight="1" thickTop="1" thickBot="1" x14ac:dyDescent="0.2">
      <c r="A38" s="255" t="s">
        <v>283</v>
      </c>
      <c r="B38" s="263"/>
      <c r="C38" s="297"/>
      <c r="D38" s="263"/>
      <c r="E38" s="298"/>
      <c r="F38" s="263"/>
      <c r="G38" s="297"/>
      <c r="H38" s="299" t="s">
        <v>511</v>
      </c>
      <c r="I38" s="253"/>
      <c r="J38" s="300"/>
      <c r="K38" s="257"/>
      <c r="L38" s="433" t="s">
        <v>432</v>
      </c>
      <c r="M38" s="441"/>
      <c r="N38" s="441"/>
      <c r="O38" s="441"/>
      <c r="P38" s="441"/>
      <c r="Q38" s="441"/>
      <c r="R38" s="441"/>
      <c r="S38" s="441"/>
      <c r="T38" s="441"/>
      <c r="U38" s="441"/>
      <c r="V38" s="441"/>
    </row>
    <row r="39" spans="1:22" s="254" customFormat="1" ht="12.95" customHeight="1" thickBot="1" x14ac:dyDescent="0.2">
      <c r="A39" s="301" t="s">
        <v>336</v>
      </c>
      <c r="B39" s="278" t="s">
        <v>272</v>
      </c>
      <c r="C39" s="302"/>
      <c r="D39" s="271" t="s">
        <v>369</v>
      </c>
      <c r="E39" s="298"/>
      <c r="F39" s="303" t="s">
        <v>342</v>
      </c>
      <c r="G39" s="297"/>
      <c r="H39" s="271" t="s">
        <v>49</v>
      </c>
      <c r="I39" s="264"/>
      <c r="J39" s="300"/>
      <c r="K39" s="257"/>
      <c r="L39" s="433"/>
      <c r="M39" s="441"/>
      <c r="N39" s="441"/>
      <c r="O39" s="441"/>
      <c r="P39" s="441"/>
      <c r="Q39" s="441"/>
      <c r="R39" s="441"/>
      <c r="S39" s="441"/>
      <c r="T39" s="441"/>
      <c r="U39" s="441"/>
      <c r="V39" s="441"/>
    </row>
    <row r="40" spans="1:22" s="254" customFormat="1" ht="12.95" customHeight="1" thickBot="1" x14ac:dyDescent="0.2">
      <c r="A40" s="304" t="s">
        <v>337</v>
      </c>
      <c r="B40" s="278" t="s">
        <v>274</v>
      </c>
      <c r="C40" s="302"/>
      <c r="D40" s="279">
        <v>42000</v>
      </c>
      <c r="E40" s="300" t="s">
        <v>514</v>
      </c>
      <c r="F40" s="310" t="s">
        <v>343</v>
      </c>
      <c r="G40" s="297"/>
      <c r="H40" s="279">
        <v>2700000</v>
      </c>
      <c r="I40" s="261" t="s">
        <v>510</v>
      </c>
      <c r="J40" s="300"/>
      <c r="K40" s="257"/>
      <c r="L40" s="433"/>
      <c r="M40" s="441"/>
      <c r="N40" s="441"/>
      <c r="O40" s="441"/>
      <c r="P40" s="441"/>
      <c r="Q40" s="441"/>
      <c r="R40" s="441"/>
      <c r="S40" s="441"/>
      <c r="T40" s="441"/>
      <c r="U40" s="441"/>
      <c r="V40" s="441"/>
    </row>
    <row r="41" spans="1:22" s="254" customFormat="1" ht="12.95" customHeight="1" thickBot="1" x14ac:dyDescent="0.2">
      <c r="A41" s="304" t="s">
        <v>338</v>
      </c>
      <c r="B41" s="278" t="s">
        <v>273</v>
      </c>
      <c r="C41" s="302"/>
      <c r="D41" s="271" t="s">
        <v>369</v>
      </c>
      <c r="E41" s="298"/>
      <c r="F41" s="310" t="s">
        <v>344</v>
      </c>
      <c r="G41" s="297"/>
      <c r="H41" s="271" t="s">
        <v>49</v>
      </c>
      <c r="I41" s="264"/>
      <c r="J41" s="300"/>
      <c r="K41" s="257"/>
      <c r="L41" s="433"/>
      <c r="M41" s="441"/>
      <c r="N41" s="441"/>
      <c r="O41" s="441"/>
      <c r="P41" s="441"/>
      <c r="Q41" s="441"/>
      <c r="R41" s="441"/>
      <c r="S41" s="441"/>
      <c r="T41" s="441"/>
      <c r="U41" s="441"/>
      <c r="V41" s="441"/>
    </row>
    <row r="42" spans="1:22" s="254" customFormat="1" ht="12.95" customHeight="1" thickBot="1" x14ac:dyDescent="0.2">
      <c r="A42" s="304" t="s">
        <v>339</v>
      </c>
      <c r="B42" s="278" t="s">
        <v>275</v>
      </c>
      <c r="C42" s="302"/>
      <c r="D42" s="279">
        <v>0</v>
      </c>
      <c r="E42" s="300" t="s">
        <v>514</v>
      </c>
      <c r="F42" s="310" t="s">
        <v>345</v>
      </c>
      <c r="G42" s="297"/>
      <c r="H42" s="279">
        <v>0</v>
      </c>
      <c r="I42" s="324" t="s">
        <v>510</v>
      </c>
      <c r="J42" s="300"/>
      <c r="K42" s="257"/>
      <c r="L42" s="433"/>
      <c r="M42" s="441"/>
      <c r="N42" s="441"/>
      <c r="O42" s="441"/>
      <c r="P42" s="441"/>
      <c r="Q42" s="441"/>
      <c r="R42" s="441"/>
      <c r="S42" s="441"/>
      <c r="T42" s="441"/>
      <c r="U42" s="441"/>
      <c r="V42" s="441"/>
    </row>
    <row r="43" spans="1:22" s="254" customFormat="1" ht="12.95" customHeight="1" thickBot="1" x14ac:dyDescent="0.2">
      <c r="A43" s="304" t="s">
        <v>340</v>
      </c>
      <c r="B43" s="259" t="s">
        <v>306</v>
      </c>
      <c r="C43" s="302"/>
      <c r="D43" s="271" t="s">
        <v>369</v>
      </c>
      <c r="E43" s="298"/>
      <c r="F43" s="310" t="s">
        <v>346</v>
      </c>
      <c r="G43" s="297"/>
      <c r="H43" s="271" t="s">
        <v>49</v>
      </c>
      <c r="I43" s="325"/>
      <c r="J43" s="300"/>
      <c r="K43" s="257"/>
      <c r="L43" s="433"/>
      <c r="M43" s="441"/>
      <c r="N43" s="441"/>
      <c r="O43" s="441"/>
      <c r="P43" s="441"/>
      <c r="Q43" s="441"/>
      <c r="R43" s="441"/>
      <c r="S43" s="441"/>
      <c r="T43" s="441"/>
      <c r="U43" s="441"/>
      <c r="V43" s="441"/>
    </row>
    <row r="44" spans="1:22" s="254" customFormat="1" ht="12.95" customHeight="1" thickBot="1" x14ac:dyDescent="0.2">
      <c r="A44" s="311" t="s">
        <v>341</v>
      </c>
      <c r="B44" s="326" t="s">
        <v>307</v>
      </c>
      <c r="C44" s="327"/>
      <c r="D44" s="279">
        <v>3500</v>
      </c>
      <c r="E44" s="313" t="s">
        <v>514</v>
      </c>
      <c r="F44" s="328" t="s">
        <v>347</v>
      </c>
      <c r="G44" s="329"/>
      <c r="H44" s="279">
        <v>0</v>
      </c>
      <c r="I44" s="324" t="s">
        <v>510</v>
      </c>
      <c r="J44" s="300"/>
      <c r="K44" s="257"/>
      <c r="L44" s="433"/>
      <c r="M44" s="441"/>
      <c r="N44" s="441"/>
      <c r="O44" s="441"/>
      <c r="P44" s="441"/>
      <c r="Q44" s="441"/>
      <c r="R44" s="441"/>
      <c r="S44" s="441"/>
      <c r="T44" s="441"/>
      <c r="U44" s="441"/>
      <c r="V44" s="441"/>
    </row>
    <row r="45" spans="1:22" s="254" customFormat="1" ht="7.5" customHeight="1" thickTop="1" thickBot="1" x14ac:dyDescent="0.2">
      <c r="A45" s="290"/>
      <c r="B45" s="290"/>
      <c r="C45" s="330"/>
      <c r="D45" s="290"/>
      <c r="E45" s="331"/>
      <c r="F45" s="290"/>
      <c r="G45" s="330"/>
      <c r="H45" s="290"/>
      <c r="I45" s="332"/>
      <c r="J45" s="300"/>
      <c r="K45" s="257"/>
      <c r="L45" s="433"/>
      <c r="M45" s="441"/>
      <c r="N45" s="441"/>
      <c r="O45" s="441"/>
      <c r="P45" s="441"/>
      <c r="Q45" s="441"/>
      <c r="R45" s="441"/>
      <c r="S45" s="441"/>
      <c r="T45" s="441"/>
      <c r="U45" s="441"/>
      <c r="V45" s="441"/>
    </row>
    <row r="46" spans="1:22" s="254" customFormat="1" ht="15.6" customHeight="1" thickTop="1" thickBot="1" x14ac:dyDescent="0.2">
      <c r="A46" s="251" t="s">
        <v>433</v>
      </c>
      <c r="B46" s="263"/>
      <c r="C46" s="297"/>
      <c r="D46" s="263"/>
      <c r="E46" s="298"/>
      <c r="F46" s="263"/>
      <c r="G46" s="297"/>
      <c r="H46" s="299" t="s">
        <v>511</v>
      </c>
      <c r="I46" s="253"/>
      <c r="J46" s="300"/>
      <c r="K46" s="257"/>
      <c r="L46" s="433"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2023年１月分の報告省令レート（ただし、米ドルと日本円間のレートについては同年１月１日時点の最新の為替レート）を用いてください。</v>
      </c>
      <c r="M46" s="442"/>
      <c r="N46" s="442"/>
      <c r="O46" s="442"/>
      <c r="P46" s="442"/>
      <c r="Q46" s="442"/>
      <c r="R46" s="442"/>
      <c r="S46" s="442"/>
      <c r="T46" s="442"/>
      <c r="U46" s="442"/>
      <c r="V46" s="442"/>
    </row>
    <row r="47" spans="1:22" s="254" customFormat="1" ht="12.95" customHeight="1" thickBot="1" x14ac:dyDescent="0.2">
      <c r="A47" s="304" t="s">
        <v>348</v>
      </c>
      <c r="B47" s="278" t="s">
        <v>0</v>
      </c>
      <c r="C47" s="302"/>
      <c r="D47" s="267">
        <v>0</v>
      </c>
      <c r="E47" s="300" t="s">
        <v>48</v>
      </c>
      <c r="F47" s="303" t="s">
        <v>357</v>
      </c>
      <c r="G47" s="297"/>
      <c r="H47" s="267">
        <v>2</v>
      </c>
      <c r="I47" s="261" t="s">
        <v>48</v>
      </c>
      <c r="J47" s="300"/>
      <c r="K47" s="257"/>
      <c r="L47" s="443"/>
      <c r="M47" s="442"/>
      <c r="N47" s="442"/>
      <c r="O47" s="442"/>
      <c r="P47" s="442"/>
      <c r="Q47" s="442"/>
      <c r="R47" s="442"/>
      <c r="S47" s="442"/>
      <c r="T47" s="442"/>
      <c r="U47" s="442"/>
      <c r="V47" s="442"/>
    </row>
    <row r="48" spans="1:22" s="254" customFormat="1" ht="12.95" customHeight="1" thickBot="1" x14ac:dyDescent="0.2">
      <c r="A48" s="304" t="s">
        <v>349</v>
      </c>
      <c r="B48" s="278" t="s">
        <v>1</v>
      </c>
      <c r="C48" s="302"/>
      <c r="D48" s="267">
        <v>0</v>
      </c>
      <c r="E48" s="300" t="s">
        <v>48</v>
      </c>
      <c r="F48" s="310" t="s">
        <v>358</v>
      </c>
      <c r="G48" s="297"/>
      <c r="H48" s="267">
        <v>0</v>
      </c>
      <c r="I48" s="261" t="s">
        <v>48</v>
      </c>
      <c r="J48" s="300"/>
      <c r="K48" s="257"/>
      <c r="L48" s="443"/>
      <c r="M48" s="442"/>
      <c r="N48" s="442"/>
      <c r="O48" s="442"/>
      <c r="P48" s="442"/>
      <c r="Q48" s="442"/>
      <c r="R48" s="442"/>
      <c r="S48" s="442"/>
      <c r="T48" s="442"/>
      <c r="U48" s="442"/>
      <c r="V48" s="442"/>
    </row>
    <row r="49" spans="1:22" s="254" customFormat="1" ht="12.95" customHeight="1" thickBot="1" x14ac:dyDescent="0.2">
      <c r="A49" s="304" t="s">
        <v>350</v>
      </c>
      <c r="B49" s="278" t="s">
        <v>2</v>
      </c>
      <c r="C49" s="302"/>
      <c r="D49" s="267">
        <v>1</v>
      </c>
      <c r="E49" s="300" t="s">
        <v>48</v>
      </c>
      <c r="F49" s="310" t="s">
        <v>359</v>
      </c>
      <c r="G49" s="297"/>
      <c r="H49" s="267">
        <v>0</v>
      </c>
      <c r="I49" s="261" t="s">
        <v>48</v>
      </c>
      <c r="J49" s="300"/>
      <c r="K49" s="257"/>
      <c r="L49" s="443"/>
      <c r="M49" s="442"/>
      <c r="N49" s="442"/>
      <c r="O49" s="442"/>
      <c r="P49" s="442"/>
      <c r="Q49" s="442"/>
      <c r="R49" s="442"/>
      <c r="S49" s="442"/>
      <c r="T49" s="442"/>
      <c r="U49" s="442"/>
      <c r="V49" s="442"/>
    </row>
    <row r="50" spans="1:22" s="254" customFormat="1" ht="12.95" customHeight="1" thickBot="1" x14ac:dyDescent="0.2">
      <c r="A50" s="304" t="s">
        <v>351</v>
      </c>
      <c r="B50" s="278" t="s">
        <v>3</v>
      </c>
      <c r="C50" s="302"/>
      <c r="D50" s="267">
        <v>0</v>
      </c>
      <c r="E50" s="300" t="s">
        <v>48</v>
      </c>
      <c r="F50" s="310" t="s">
        <v>360</v>
      </c>
      <c r="G50" s="297"/>
      <c r="H50" s="267">
        <v>0</v>
      </c>
      <c r="I50" s="261" t="s">
        <v>48</v>
      </c>
      <c r="J50" s="300"/>
      <c r="K50" s="257"/>
      <c r="L50" s="433" t="s">
        <v>629</v>
      </c>
      <c r="M50" s="441"/>
      <c r="N50" s="441"/>
      <c r="O50" s="441"/>
      <c r="P50" s="441"/>
      <c r="Q50" s="441"/>
      <c r="R50" s="441"/>
      <c r="S50" s="441"/>
      <c r="T50" s="441"/>
      <c r="U50" s="441"/>
      <c r="V50" s="441"/>
    </row>
    <row r="51" spans="1:22" s="254" customFormat="1" ht="12.95" customHeight="1" thickBot="1" x14ac:dyDescent="0.2">
      <c r="A51" s="304" t="s">
        <v>352</v>
      </c>
      <c r="B51" s="278" t="s">
        <v>4</v>
      </c>
      <c r="C51" s="302"/>
      <c r="D51" s="267">
        <v>0</v>
      </c>
      <c r="E51" s="300" t="s">
        <v>48</v>
      </c>
      <c r="F51" s="310" t="s">
        <v>361</v>
      </c>
      <c r="G51" s="297"/>
      <c r="H51" s="267">
        <v>0</v>
      </c>
      <c r="I51" s="261" t="s">
        <v>48</v>
      </c>
      <c r="J51" s="300"/>
      <c r="K51" s="257"/>
      <c r="L51" s="433"/>
      <c r="M51" s="441"/>
      <c r="N51" s="441"/>
      <c r="O51" s="441"/>
      <c r="P51" s="441"/>
      <c r="Q51" s="441"/>
      <c r="R51" s="441"/>
      <c r="S51" s="441"/>
      <c r="T51" s="441"/>
      <c r="U51" s="441"/>
      <c r="V51" s="441"/>
    </row>
    <row r="52" spans="1:22" s="254" customFormat="1" ht="12.95" customHeight="1" thickBot="1" x14ac:dyDescent="0.2">
      <c r="A52" s="304" t="s">
        <v>353</v>
      </c>
      <c r="B52" s="278" t="s">
        <v>5</v>
      </c>
      <c r="C52" s="302"/>
      <c r="D52" s="267">
        <v>0</v>
      </c>
      <c r="E52" s="300" t="s">
        <v>48</v>
      </c>
      <c r="F52" s="310" t="s">
        <v>362</v>
      </c>
      <c r="G52" s="297"/>
      <c r="H52" s="267">
        <v>0</v>
      </c>
      <c r="I52" s="261" t="s">
        <v>48</v>
      </c>
      <c r="J52" s="300"/>
      <c r="K52" s="257"/>
      <c r="L52" s="433"/>
      <c r="M52" s="441"/>
      <c r="N52" s="441"/>
      <c r="O52" s="441"/>
      <c r="P52" s="441"/>
      <c r="Q52" s="441"/>
      <c r="R52" s="441"/>
      <c r="S52" s="441"/>
      <c r="T52" s="441"/>
      <c r="U52" s="441"/>
      <c r="V52" s="441"/>
    </row>
    <row r="53" spans="1:22" s="254" customFormat="1" ht="12.95" customHeight="1" thickBot="1" x14ac:dyDescent="0.2">
      <c r="A53" s="304" t="s">
        <v>354</v>
      </c>
      <c r="B53" s="278" t="s">
        <v>302</v>
      </c>
      <c r="C53" s="302"/>
      <c r="D53" s="267">
        <v>0</v>
      </c>
      <c r="E53" s="300" t="s">
        <v>48</v>
      </c>
      <c r="F53" s="310" t="s">
        <v>363</v>
      </c>
      <c r="G53" s="297"/>
      <c r="H53" s="267">
        <v>0</v>
      </c>
      <c r="I53" s="261" t="s">
        <v>48</v>
      </c>
      <c r="J53" s="300"/>
      <c r="K53" s="257"/>
      <c r="L53" s="433" t="s">
        <v>400</v>
      </c>
      <c r="M53" s="441"/>
      <c r="N53" s="441"/>
      <c r="O53" s="441"/>
      <c r="P53" s="441"/>
      <c r="Q53" s="441"/>
      <c r="R53" s="441"/>
      <c r="S53" s="441"/>
      <c r="T53" s="441"/>
      <c r="U53" s="441"/>
      <c r="V53" s="441"/>
    </row>
    <row r="54" spans="1:22" s="254" customFormat="1" ht="12.95" customHeight="1" thickBot="1" x14ac:dyDescent="0.2">
      <c r="A54" s="304" t="s">
        <v>355</v>
      </c>
      <c r="B54" s="333" t="s">
        <v>303</v>
      </c>
      <c r="C54" s="334"/>
      <c r="D54" s="267">
        <v>0</v>
      </c>
      <c r="E54" s="300" t="s">
        <v>48</v>
      </c>
      <c r="F54" s="310" t="s">
        <v>364</v>
      </c>
      <c r="G54" s="297"/>
      <c r="H54" s="267">
        <v>0</v>
      </c>
      <c r="I54" s="261" t="s">
        <v>48</v>
      </c>
      <c r="J54" s="300"/>
      <c r="K54" s="257"/>
      <c r="L54" s="433"/>
      <c r="M54" s="441"/>
      <c r="N54" s="441"/>
      <c r="O54" s="441"/>
      <c r="P54" s="441"/>
      <c r="Q54" s="441"/>
      <c r="R54" s="441"/>
      <c r="S54" s="441"/>
      <c r="T54" s="441"/>
      <c r="U54" s="441"/>
      <c r="V54" s="441"/>
    </row>
    <row r="55" spans="1:22" s="254" customFormat="1" ht="12.95" customHeight="1" thickBot="1" x14ac:dyDescent="0.2">
      <c r="A55" s="311" t="s">
        <v>356</v>
      </c>
      <c r="B55" s="335" t="s">
        <v>304</v>
      </c>
      <c r="C55" s="312"/>
      <c r="D55" s="267">
        <v>0</v>
      </c>
      <c r="E55" s="313" t="s">
        <v>48</v>
      </c>
      <c r="F55" s="336" t="s">
        <v>365</v>
      </c>
      <c r="G55" s="329"/>
      <c r="H55" s="267">
        <v>0</v>
      </c>
      <c r="I55" s="285" t="s">
        <v>48</v>
      </c>
      <c r="J55" s="300"/>
      <c r="K55" s="257"/>
      <c r="L55" s="433"/>
      <c r="M55" s="441"/>
      <c r="N55" s="441"/>
      <c r="O55" s="441"/>
      <c r="P55" s="441"/>
      <c r="Q55" s="441"/>
      <c r="R55" s="441"/>
      <c r="S55" s="441"/>
      <c r="T55" s="441"/>
      <c r="U55" s="441"/>
      <c r="V55" s="441"/>
    </row>
    <row r="56" spans="1:22" ht="6.6" customHeight="1" thickTop="1" x14ac:dyDescent="0.15">
      <c r="C56" s="337"/>
      <c r="D56" s="338"/>
      <c r="E56" s="339"/>
      <c r="G56" s="337"/>
      <c r="H56" s="340"/>
      <c r="I56" s="340"/>
      <c r="J56" s="339"/>
      <c r="K56" s="234"/>
      <c r="L56" s="190"/>
      <c r="M56" s="190"/>
      <c r="N56" s="190"/>
      <c r="O56" s="190"/>
      <c r="P56" s="190"/>
      <c r="Q56" s="190"/>
      <c r="R56" s="190"/>
      <c r="S56" s="190"/>
      <c r="T56" s="190"/>
      <c r="U56" s="190"/>
      <c r="V56" s="190"/>
    </row>
    <row r="57" spans="1:22" ht="12.75" hidden="1" customHeight="1" x14ac:dyDescent="0.15">
      <c r="B57" s="233" t="s">
        <v>294</v>
      </c>
      <c r="K57" s="234"/>
      <c r="L57" s="190"/>
      <c r="M57" s="190"/>
      <c r="N57" s="190"/>
      <c r="O57" s="190"/>
      <c r="P57" s="190"/>
      <c r="Q57" s="190"/>
      <c r="R57" s="190"/>
      <c r="S57" s="190"/>
      <c r="T57" s="190"/>
      <c r="U57" s="190"/>
      <c r="V57" s="190"/>
    </row>
    <row r="58" spans="1:22" ht="17.25" hidden="1" customHeight="1" thickBot="1" x14ac:dyDescent="0.4">
      <c r="B58" s="246" t="s">
        <v>38</v>
      </c>
      <c r="C58" s="246"/>
      <c r="D58" s="341" t="s">
        <v>371</v>
      </c>
      <c r="E58" s="246"/>
      <c r="H58" s="246" t="s">
        <v>434</v>
      </c>
      <c r="I58" s="246"/>
      <c r="K58" s="234"/>
      <c r="L58" s="190" t="s">
        <v>375</v>
      </c>
      <c r="M58" s="190"/>
      <c r="N58" s="190"/>
      <c r="O58" s="190"/>
      <c r="P58" s="190"/>
      <c r="Q58" s="190"/>
      <c r="R58" s="190"/>
      <c r="S58" s="190"/>
      <c r="T58" s="190"/>
      <c r="U58" s="190"/>
      <c r="V58" s="190"/>
    </row>
    <row r="59" spans="1:22" ht="23.25" hidden="1" customHeight="1" thickBot="1" x14ac:dyDescent="0.25">
      <c r="B59" s="192" t="s">
        <v>279</v>
      </c>
      <c r="C59" s="192"/>
      <c r="D59" s="342" t="s">
        <v>370</v>
      </c>
      <c r="E59" s="192"/>
      <c r="H59" s="246" t="s">
        <v>435</v>
      </c>
      <c r="I59" s="246"/>
      <c r="K59" s="234"/>
      <c r="L59" s="190"/>
      <c r="M59" s="190"/>
      <c r="N59" s="190"/>
      <c r="O59" s="190"/>
      <c r="P59" s="190"/>
      <c r="Q59" s="190"/>
      <c r="R59" s="190"/>
      <c r="S59" s="190"/>
      <c r="T59" s="190"/>
      <c r="U59" s="190"/>
      <c r="V59" s="190"/>
    </row>
    <row r="60" spans="1:22" ht="6.75" customHeight="1" x14ac:dyDescent="0.15">
      <c r="K60" s="234"/>
      <c r="L60" s="190"/>
      <c r="M60" s="190"/>
      <c r="N60" s="190"/>
      <c r="O60" s="190"/>
      <c r="P60" s="190"/>
      <c r="Q60" s="190"/>
      <c r="R60" s="190"/>
      <c r="S60" s="190"/>
      <c r="T60" s="190"/>
      <c r="U60" s="190"/>
      <c r="V60" s="190"/>
    </row>
    <row r="61" spans="1:22" x14ac:dyDescent="0.15">
      <c r="B61" s="233" t="s">
        <v>310</v>
      </c>
      <c r="K61" s="234"/>
      <c r="L61" s="190" t="s">
        <v>623</v>
      </c>
      <c r="M61" s="190"/>
      <c r="N61" s="190"/>
      <c r="O61" s="190"/>
      <c r="P61" s="190"/>
      <c r="Q61" s="190"/>
      <c r="R61" s="190"/>
      <c r="S61" s="190"/>
      <c r="T61" s="190"/>
      <c r="U61" s="190"/>
      <c r="V61" s="190"/>
    </row>
    <row r="62" spans="1:22" ht="13.5" customHeight="1" x14ac:dyDescent="0.15">
      <c r="B62" s="343" t="s">
        <v>395</v>
      </c>
      <c r="K62" s="234"/>
      <c r="L62" s="433" t="s">
        <v>635</v>
      </c>
      <c r="M62" s="434"/>
      <c r="N62" s="434"/>
      <c r="O62" s="434"/>
      <c r="P62" s="434"/>
      <c r="Q62" s="434"/>
      <c r="R62" s="434"/>
      <c r="S62" s="434"/>
      <c r="T62" s="434"/>
      <c r="U62" s="434"/>
      <c r="V62" s="434"/>
    </row>
    <row r="63" spans="1:22" ht="13.5" customHeight="1" x14ac:dyDescent="0.15">
      <c r="B63" s="344" t="s">
        <v>311</v>
      </c>
      <c r="K63" s="234"/>
      <c r="L63" s="433"/>
      <c r="M63" s="434"/>
      <c r="N63" s="434"/>
      <c r="O63" s="434"/>
      <c r="P63" s="434"/>
      <c r="Q63" s="434"/>
      <c r="R63" s="434"/>
      <c r="S63" s="434"/>
      <c r="T63" s="434"/>
      <c r="U63" s="434"/>
      <c r="V63" s="434"/>
    </row>
    <row r="64" spans="1:22" x14ac:dyDescent="0.15">
      <c r="B64" s="344" t="s">
        <v>415</v>
      </c>
      <c r="K64" s="234"/>
      <c r="L64" s="433"/>
      <c r="M64" s="434"/>
      <c r="N64" s="434"/>
      <c r="O64" s="434"/>
      <c r="P64" s="434"/>
      <c r="Q64" s="434"/>
      <c r="R64" s="434"/>
      <c r="S64" s="434"/>
      <c r="T64" s="434"/>
      <c r="U64" s="434"/>
      <c r="V64" s="434"/>
    </row>
    <row r="65" spans="1:22" ht="13.5" customHeight="1" x14ac:dyDescent="0.15">
      <c r="B65" s="344" t="s">
        <v>394</v>
      </c>
      <c r="K65" s="234"/>
      <c r="L65" s="433"/>
      <c r="M65" s="434"/>
      <c r="N65" s="434"/>
      <c r="O65" s="434"/>
      <c r="P65" s="434"/>
      <c r="Q65" s="434"/>
      <c r="R65" s="434"/>
      <c r="S65" s="434"/>
      <c r="T65" s="434"/>
      <c r="U65" s="434"/>
      <c r="V65" s="434"/>
    </row>
    <row r="66" spans="1:22" x14ac:dyDescent="0.15">
      <c r="B66" s="345" t="s">
        <v>416</v>
      </c>
      <c r="C66" s="346"/>
      <c r="D66" s="346"/>
      <c r="E66" s="346"/>
      <c r="F66" s="346"/>
      <c r="G66" s="346"/>
      <c r="H66" s="346"/>
      <c r="K66" s="234"/>
      <c r="L66" s="433" t="s">
        <v>634</v>
      </c>
      <c r="M66" s="434"/>
      <c r="N66" s="434"/>
      <c r="O66" s="434"/>
      <c r="P66" s="434"/>
      <c r="Q66" s="434"/>
      <c r="R66" s="434"/>
      <c r="S66" s="434"/>
      <c r="T66" s="434"/>
      <c r="U66" s="434"/>
      <c r="V66" s="434"/>
    </row>
    <row r="67" spans="1:22" x14ac:dyDescent="0.15">
      <c r="A67" s="216"/>
      <c r="B67" s="347" t="s">
        <v>305</v>
      </c>
      <c r="C67" s="216"/>
      <c r="D67" s="216"/>
      <c r="E67" s="216"/>
      <c r="F67" s="216"/>
      <c r="G67" s="216"/>
      <c r="H67" s="216"/>
      <c r="I67" s="216"/>
      <c r="J67" s="216"/>
      <c r="K67" s="234"/>
      <c r="L67" s="433"/>
      <c r="M67" s="434"/>
      <c r="N67" s="434"/>
      <c r="O67" s="434"/>
      <c r="P67" s="434"/>
      <c r="Q67" s="434"/>
      <c r="R67" s="434"/>
      <c r="S67" s="434"/>
      <c r="T67" s="434"/>
      <c r="U67" s="434"/>
      <c r="V67" s="434"/>
    </row>
    <row r="68" spans="1:22" ht="10.5" customHeight="1" x14ac:dyDescent="0.15">
      <c r="A68" s="348"/>
      <c r="B68" s="201" t="s">
        <v>417</v>
      </c>
      <c r="C68" s="348"/>
      <c r="D68" s="348"/>
      <c r="E68" s="348"/>
      <c r="F68" s="348"/>
      <c r="G68" s="348"/>
      <c r="H68" s="348"/>
      <c r="I68" s="348"/>
      <c r="J68" s="348"/>
      <c r="K68" s="348"/>
      <c r="L68" s="433"/>
      <c r="M68" s="434"/>
      <c r="N68" s="434"/>
      <c r="O68" s="434"/>
      <c r="P68" s="434"/>
      <c r="Q68" s="434"/>
      <c r="R68" s="434"/>
      <c r="S68" s="434"/>
      <c r="T68" s="434"/>
      <c r="U68" s="434"/>
      <c r="V68" s="434"/>
    </row>
    <row r="69" spans="1:22" ht="10.5" customHeight="1" x14ac:dyDescent="0.15">
      <c r="B69" s="233" t="s">
        <v>301</v>
      </c>
      <c r="L69" s="433"/>
      <c r="M69" s="434"/>
      <c r="N69" s="434"/>
      <c r="O69" s="434"/>
      <c r="P69" s="434"/>
      <c r="Q69" s="434"/>
      <c r="R69" s="434"/>
      <c r="S69" s="434"/>
      <c r="T69" s="434"/>
      <c r="U69" s="434"/>
      <c r="V69" s="434"/>
    </row>
    <row r="70" spans="1:22" x14ac:dyDescent="0.15">
      <c r="A70" s="349"/>
      <c r="B70" s="350" t="s">
        <v>396</v>
      </c>
      <c r="C70" s="351"/>
      <c r="D70" s="352">
        <v>0</v>
      </c>
      <c r="E70" s="353"/>
      <c r="F70" s="438"/>
      <c r="G70" s="439"/>
      <c r="H70" s="439"/>
      <c r="I70" s="440"/>
      <c r="K70" s="234"/>
      <c r="L70" s="433" t="s">
        <v>636</v>
      </c>
      <c r="M70" s="434"/>
      <c r="N70" s="434"/>
      <c r="O70" s="434"/>
      <c r="P70" s="434"/>
      <c r="Q70" s="434"/>
      <c r="R70" s="434"/>
      <c r="S70" s="434"/>
      <c r="T70" s="434"/>
      <c r="U70" s="434"/>
      <c r="V70" s="434"/>
    </row>
    <row r="71" spans="1:22" ht="10.5" customHeight="1" x14ac:dyDescent="0.15">
      <c r="A71" s="354"/>
      <c r="B71" s="355" t="s">
        <v>397</v>
      </c>
      <c r="C71" s="356"/>
      <c r="D71" s="357">
        <v>0</v>
      </c>
      <c r="E71" s="358"/>
      <c r="F71" s="359"/>
      <c r="G71" s="359"/>
      <c r="H71" s="357">
        <v>0</v>
      </c>
      <c r="I71" s="360"/>
      <c r="J71" s="216"/>
      <c r="K71" s="234"/>
      <c r="L71" s="433"/>
      <c r="M71" s="434"/>
      <c r="N71" s="434"/>
      <c r="O71" s="434"/>
      <c r="P71" s="434"/>
      <c r="Q71" s="434"/>
      <c r="R71" s="434"/>
      <c r="S71" s="434"/>
      <c r="T71" s="434"/>
      <c r="U71" s="434"/>
      <c r="V71" s="434"/>
    </row>
    <row r="72" spans="1:22" ht="10.5" customHeight="1" x14ac:dyDescent="0.15">
      <c r="B72" s="361" t="s">
        <v>398</v>
      </c>
      <c r="C72" s="362"/>
      <c r="D72" s="363">
        <v>0</v>
      </c>
      <c r="E72" s="364"/>
      <c r="F72" s="365"/>
      <c r="G72" s="365"/>
      <c r="H72" s="363">
        <v>0</v>
      </c>
      <c r="I72" s="366"/>
      <c r="J72" s="216"/>
      <c r="K72" s="234"/>
      <c r="L72" s="343" t="s">
        <v>425</v>
      </c>
      <c r="M72" s="190"/>
      <c r="N72" s="190"/>
      <c r="O72" s="190"/>
      <c r="P72" s="190"/>
      <c r="Q72" s="190"/>
      <c r="R72" s="190"/>
      <c r="S72" s="190"/>
      <c r="T72" s="190"/>
      <c r="U72" s="190"/>
      <c r="V72" s="190"/>
    </row>
    <row r="73" spans="1:22" ht="10.5" customHeight="1" x14ac:dyDescent="0.15">
      <c r="B73" s="367" t="s">
        <v>399</v>
      </c>
      <c r="C73" s="368"/>
      <c r="D73" s="369">
        <v>0</v>
      </c>
      <c r="E73" s="370"/>
      <c r="F73" s="371"/>
      <c r="G73" s="371"/>
      <c r="H73" s="369">
        <v>0</v>
      </c>
      <c r="I73" s="372"/>
      <c r="K73" s="373" t="s">
        <v>508</v>
      </c>
      <c r="L73" s="344" t="s">
        <v>436</v>
      </c>
      <c r="M73" s="190"/>
      <c r="N73" s="190"/>
      <c r="O73" s="190"/>
      <c r="P73" s="190"/>
      <c r="Q73" s="190"/>
      <c r="R73" s="190"/>
      <c r="S73" s="190"/>
      <c r="T73" s="190"/>
      <c r="U73" s="190"/>
      <c r="V73" s="190"/>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100-000000000000}">
      <formula1>$F$12:$F$13</formula1>
    </dataValidation>
    <dataValidation type="date" allowBlank="1" showInputMessage="1" showErrorMessage="1" sqref="H8" xr:uid="{00000000-0002-0000-0100-000001000000}">
      <formula1>1</formula1>
      <formula2>401404</formula2>
    </dataValidation>
    <dataValidation type="list" allowBlank="1" showInputMessage="1" showErrorMessage="1" sqref="D22:D23" xr:uid="{00000000-0002-0000-0100-000002000000}">
      <formula1>$F$3:$F$4</formula1>
    </dataValidation>
    <dataValidation type="whole" allowBlank="1" showInputMessage="1" showErrorMessage="1" sqref="D10" xr:uid="{00000000-0002-0000-0100-000003000000}">
      <formula1>2000</formula1>
      <formula2>9999</formula2>
    </dataValidation>
    <dataValidation type="date" allowBlank="1" showInputMessage="1" showErrorMessage="1" sqref="D19 D31 H31" xr:uid="{00000000-0002-0000-01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5000000}">
          <x14:formula1>
            <xm:f>計算シート!$F$5:$F$7</xm:f>
          </x14:formula1>
          <xm:sqref>D21</xm:sqref>
        </x14:dataValidation>
        <x14:dataValidation type="list" allowBlank="1" showInputMessage="1" showErrorMessage="1" xr:uid="{00000000-0002-0000-0100-000006000000}">
          <x14:formula1>
            <xm:f>計算シート!$F$11:$F$13</xm:f>
          </x14:formula1>
          <xm:sqref>D20</xm:sqref>
        </x14:dataValidation>
        <x14:dataValidation type="list" allowBlank="1" showInputMessage="1" showErrorMessage="1" xr:uid="{00000000-0002-0000-0100-000007000000}">
          <x14:formula1>
            <xm:f>計算シート!$F$8:$F$10</xm:f>
          </x14:formula1>
          <xm:sqref>D36</xm:sqref>
        </x14:dataValidation>
        <x14:dataValidation type="list" allowBlank="1" showInputMessage="1" showErrorMessage="1" xr:uid="{00000000-0002-0000-0100-000008000000}">
          <x14:formula1>
            <xm:f>前年レート!$N$12:$N$74</xm:f>
          </x14:formula1>
          <xm:sqref>D39 D43 H39 D41 H41 H43 D24 D26</xm:sqref>
        </x14:dataValidation>
        <x14:dataValidation type="list" allowBlank="1" showInputMessage="1" showErrorMessage="1" xr:uid="{00000000-0002-0000-0100-000009000000}">
          <x14:formula1>
            <xm:f>計算シート!$F$5:$F$6</xm:f>
          </x14:formula1>
          <xm:sqref>D35</xm:sqref>
        </x14:dataValidation>
        <x14:dataValidation type="list" allowBlank="1" showInputMessage="1" showErrorMessage="1" xr:uid="{00000000-0002-0000-0100-00000A000000}">
          <x14:formula1>
            <xm:f>計算シート!$F$3:$F$4</xm:f>
          </x14:formula1>
          <xm:sqref>D32:D34</xm:sqref>
        </x14:dataValidation>
        <x14:dataValidation type="list" allowBlank="1" showInputMessage="1" showErrorMessage="1" xr:uid="{00000000-0002-0000-0100-00000B000000}">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K70" sqref="K70:K73"/>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19" t="s">
        <v>507</v>
      </c>
      <c r="B1" s="419"/>
      <c r="C1" s="419"/>
      <c r="D1" s="419"/>
      <c r="E1" s="419"/>
      <c r="F1" s="419"/>
      <c r="G1" s="419"/>
      <c r="H1" s="419"/>
      <c r="I1" s="419"/>
      <c r="K1" s="186"/>
      <c r="L1" s="419" t="s">
        <v>367</v>
      </c>
      <c r="M1" s="419"/>
      <c r="N1" s="419"/>
      <c r="O1" s="419"/>
      <c r="P1" s="419"/>
      <c r="Q1" s="419"/>
      <c r="R1" s="419"/>
      <c r="S1" s="419"/>
      <c r="T1" s="419"/>
      <c r="U1" s="419"/>
      <c r="V1" s="419"/>
    </row>
    <row r="2" spans="1:22" ht="6" customHeight="1" x14ac:dyDescent="0.15">
      <c r="A2" s="229"/>
      <c r="B2" s="229"/>
      <c r="C2" s="229"/>
      <c r="D2" s="229"/>
      <c r="E2" s="229"/>
      <c r="F2" s="229"/>
      <c r="G2" s="229"/>
      <c r="H2" s="229"/>
      <c r="I2" s="229"/>
      <c r="K2" s="186"/>
    </row>
    <row r="3" spans="1:22" x14ac:dyDescent="0.15">
      <c r="A3" s="88" t="s">
        <v>300</v>
      </c>
      <c r="C3" s="229"/>
      <c r="D3" s="229"/>
      <c r="E3" s="229"/>
      <c r="F3" s="229"/>
      <c r="G3" s="229"/>
      <c r="H3" s="229"/>
      <c r="I3" s="229"/>
      <c r="K3" s="186"/>
      <c r="L3" s="185" t="s">
        <v>618</v>
      </c>
      <c r="M3" s="185"/>
      <c r="N3" s="185"/>
      <c r="O3" s="185"/>
      <c r="P3" s="185"/>
      <c r="Q3" s="185"/>
      <c r="R3" s="185"/>
      <c r="S3" s="185"/>
      <c r="T3" s="185"/>
      <c r="U3" s="185"/>
      <c r="V3" s="185"/>
    </row>
    <row r="4" spans="1:22" ht="15.75" customHeight="1" x14ac:dyDescent="0.15">
      <c r="A4" s="229"/>
      <c r="B4" s="88"/>
      <c r="C4" s="229"/>
      <c r="D4" s="229"/>
      <c r="E4" s="229"/>
      <c r="F4" s="229"/>
      <c r="G4" s="229"/>
      <c r="H4" s="229"/>
      <c r="I4" s="229"/>
      <c r="K4" s="186"/>
      <c r="L4" s="433" t="s">
        <v>625</v>
      </c>
      <c r="M4" s="441"/>
      <c r="N4" s="441"/>
      <c r="O4" s="441"/>
      <c r="P4" s="441"/>
      <c r="Q4" s="441"/>
      <c r="R4" s="441"/>
      <c r="S4" s="441"/>
      <c r="T4" s="441"/>
      <c r="U4" s="441"/>
      <c r="V4" s="441"/>
    </row>
    <row r="5" spans="1:22" x14ac:dyDescent="0.15">
      <c r="A5" s="229"/>
      <c r="B5" s="420" t="s">
        <v>437</v>
      </c>
      <c r="C5" s="420"/>
      <c r="D5" s="420"/>
      <c r="E5" s="420"/>
      <c r="F5" s="420"/>
      <c r="G5" s="420"/>
      <c r="H5" s="420"/>
      <c r="I5" s="420"/>
      <c r="K5" s="186"/>
      <c r="L5" s="433"/>
      <c r="M5" s="441"/>
      <c r="N5" s="441"/>
      <c r="O5" s="441"/>
      <c r="P5" s="441"/>
      <c r="Q5" s="441"/>
      <c r="R5" s="441"/>
      <c r="S5" s="441"/>
      <c r="T5" s="441"/>
      <c r="U5" s="441"/>
      <c r="V5" s="441"/>
    </row>
    <row r="6" spans="1:22" x14ac:dyDescent="0.15">
      <c r="A6" s="229"/>
      <c r="B6" s="420"/>
      <c r="C6" s="420"/>
      <c r="D6" s="420"/>
      <c r="E6" s="420"/>
      <c r="F6" s="420"/>
      <c r="G6" s="420"/>
      <c r="H6" s="420"/>
      <c r="I6" s="420"/>
      <c r="K6" s="186"/>
      <c r="L6" s="433"/>
      <c r="M6" s="441"/>
      <c r="N6" s="441"/>
      <c r="O6" s="441"/>
      <c r="P6" s="441"/>
      <c r="Q6" s="441"/>
      <c r="R6" s="441"/>
      <c r="S6" s="441"/>
      <c r="T6" s="441"/>
      <c r="U6" s="441"/>
      <c r="V6" s="441"/>
    </row>
    <row r="7" spans="1:22" x14ac:dyDescent="0.15">
      <c r="A7" s="229"/>
      <c r="B7" s="230"/>
      <c r="C7" s="230"/>
      <c r="D7" s="230"/>
      <c r="E7" s="230"/>
      <c r="F7" s="230"/>
      <c r="G7" s="230"/>
      <c r="H7" s="230"/>
      <c r="I7" s="230"/>
      <c r="K7" s="186"/>
      <c r="L7" s="433" t="s">
        <v>401</v>
      </c>
      <c r="M7" s="441"/>
      <c r="N7" s="441"/>
      <c r="O7" s="441"/>
      <c r="P7" s="441"/>
      <c r="Q7" s="441"/>
      <c r="R7" s="441"/>
      <c r="S7" s="441"/>
      <c r="T7" s="441"/>
      <c r="U7" s="441"/>
      <c r="V7" s="441"/>
    </row>
    <row r="8" spans="1:22" ht="14.25" thickBot="1" x14ac:dyDescent="0.2">
      <c r="A8" s="229"/>
      <c r="B8" s="230"/>
      <c r="C8" s="230"/>
      <c r="D8" s="230"/>
      <c r="E8" s="427" t="s">
        <v>392</v>
      </c>
      <c r="F8" s="427"/>
      <c r="G8" s="427"/>
      <c r="H8" s="203">
        <v>43647</v>
      </c>
      <c r="I8" s="230"/>
      <c r="K8" s="186"/>
      <c r="L8" s="433"/>
      <c r="M8" s="441"/>
      <c r="N8" s="441"/>
      <c r="O8" s="441"/>
      <c r="P8" s="441"/>
      <c r="Q8" s="441"/>
      <c r="R8" s="441"/>
      <c r="S8" s="441"/>
      <c r="T8" s="441"/>
      <c r="U8" s="441"/>
      <c r="V8" s="441"/>
    </row>
    <row r="9" spans="1:22" ht="13.5" customHeight="1" x14ac:dyDescent="0.15">
      <c r="A9" s="229"/>
      <c r="B9" s="229"/>
      <c r="C9" s="229"/>
      <c r="D9" s="229"/>
      <c r="E9" s="57"/>
      <c r="F9" s="57"/>
      <c r="G9" s="57"/>
      <c r="H9" s="206" t="s">
        <v>438</v>
      </c>
      <c r="I9" s="166"/>
      <c r="K9" s="186"/>
      <c r="L9" s="433" t="s">
        <v>624</v>
      </c>
      <c r="M9" s="441"/>
      <c r="N9" s="441"/>
      <c r="O9" s="441"/>
      <c r="P9" s="441"/>
      <c r="Q9" s="441"/>
      <c r="R9" s="441"/>
      <c r="S9" s="441"/>
      <c r="T9" s="441"/>
      <c r="U9" s="441"/>
      <c r="V9" s="441"/>
    </row>
    <row r="10" spans="1:22" ht="13.5" customHeight="1" thickBot="1" x14ac:dyDescent="0.2">
      <c r="A10" s="229"/>
      <c r="B10" s="217" t="s">
        <v>410</v>
      </c>
      <c r="C10" s="218"/>
      <c r="D10" s="219">
        <v>2020</v>
      </c>
      <c r="E10" s="429" t="s">
        <v>407</v>
      </c>
      <c r="F10" s="429"/>
      <c r="G10" s="429"/>
      <c r="H10" s="220" t="s">
        <v>403</v>
      </c>
      <c r="I10" s="166"/>
      <c r="K10" s="186"/>
      <c r="L10" s="433"/>
      <c r="M10" s="441"/>
      <c r="N10" s="441"/>
      <c r="O10" s="441"/>
      <c r="P10" s="441"/>
      <c r="Q10" s="441"/>
      <c r="R10" s="441"/>
      <c r="S10" s="441"/>
      <c r="T10" s="441"/>
      <c r="U10" s="441"/>
      <c r="V10" s="441"/>
    </row>
    <row r="11" spans="1:22" ht="14.25" thickBot="1" x14ac:dyDescent="0.2">
      <c r="A11" s="229"/>
      <c r="B11" s="231" t="s">
        <v>439</v>
      </c>
      <c r="C11" s="78"/>
      <c r="D11" s="225">
        <v>12345678</v>
      </c>
      <c r="E11" s="374" t="s">
        <v>440</v>
      </c>
      <c r="F11" s="375">
        <v>101</v>
      </c>
      <c r="G11" s="374" t="s">
        <v>440</v>
      </c>
      <c r="H11" s="376">
        <v>901234</v>
      </c>
      <c r="I11" s="166"/>
      <c r="K11" s="186"/>
      <c r="L11" s="433"/>
      <c r="M11" s="441"/>
      <c r="N11" s="441"/>
      <c r="O11" s="441"/>
      <c r="P11" s="441"/>
      <c r="Q11" s="441"/>
      <c r="R11" s="441"/>
      <c r="S11" s="441"/>
      <c r="T11" s="441"/>
      <c r="U11" s="441"/>
      <c r="V11" s="441"/>
    </row>
    <row r="12" spans="1:22" ht="14.25" thickBot="1" x14ac:dyDescent="0.2">
      <c r="B12" s="231" t="s">
        <v>441</v>
      </c>
      <c r="C12" s="78"/>
      <c r="D12" s="78" t="s">
        <v>442</v>
      </c>
      <c r="E12" s="444" t="s">
        <v>393</v>
      </c>
      <c r="F12" s="444"/>
      <c r="G12" s="444"/>
      <c r="H12" s="203">
        <v>37072</v>
      </c>
      <c r="K12" s="186"/>
      <c r="L12" s="433" t="s">
        <v>423</v>
      </c>
      <c r="M12" s="434"/>
      <c r="N12" s="434"/>
      <c r="O12" s="434"/>
      <c r="P12" s="434"/>
      <c r="Q12" s="434"/>
      <c r="R12" s="434"/>
      <c r="S12" s="434"/>
      <c r="T12" s="434"/>
      <c r="U12" s="434"/>
      <c r="V12" s="434"/>
    </row>
    <row r="13" spans="1:22" ht="14.25" thickBot="1" x14ac:dyDescent="0.2">
      <c r="B13" s="231" t="s">
        <v>276</v>
      </c>
      <c r="C13" s="89"/>
      <c r="D13" s="89" t="s">
        <v>443</v>
      </c>
      <c r="E13" s="57"/>
      <c r="F13" s="57"/>
      <c r="G13" s="57"/>
      <c r="H13" s="206" t="s">
        <v>444</v>
      </c>
      <c r="K13" s="186"/>
      <c r="L13" s="433"/>
      <c r="M13" s="434"/>
      <c r="N13" s="434"/>
      <c r="O13" s="434"/>
      <c r="P13" s="434"/>
      <c r="Q13" s="434"/>
      <c r="R13" s="434"/>
      <c r="S13" s="434"/>
      <c r="T13" s="434"/>
      <c r="U13" s="434"/>
      <c r="V13" s="434"/>
    </row>
    <row r="14" spans="1:22" ht="14.25" thickBot="1" x14ac:dyDescent="0.2">
      <c r="B14" s="231" t="s">
        <v>277</v>
      </c>
      <c r="C14" s="89"/>
      <c r="D14" s="192" t="s">
        <v>445</v>
      </c>
      <c r="E14" s="202"/>
      <c r="F14" s="202"/>
      <c r="G14" s="202"/>
      <c r="H14" s="202"/>
      <c r="K14" s="186"/>
      <c r="L14" s="433"/>
      <c r="M14" s="434"/>
      <c r="N14" s="434"/>
      <c r="O14" s="434"/>
      <c r="P14" s="434"/>
      <c r="Q14" s="434"/>
      <c r="R14" s="434"/>
      <c r="S14" s="434"/>
      <c r="T14" s="434"/>
      <c r="U14" s="434"/>
      <c r="V14" s="434"/>
    </row>
    <row r="15" spans="1:22" x14ac:dyDescent="0.15">
      <c r="B15" s="221" t="str">
        <f>"※ 以下、収入（所得）は【"&amp;IF(計算シート!C49=1,計算シート!C47,計算シート!C48)&amp;"年1月1日～12月31日】のものを入力してください。"</f>
        <v>※ 以下、収入（所得）は【2022年1月1日～12月31日】のものを入力してください。</v>
      </c>
      <c r="C15" s="57"/>
      <c r="D15" s="216"/>
      <c r="E15" s="202"/>
      <c r="F15" s="202"/>
      <c r="G15" s="202"/>
      <c r="H15" s="202"/>
      <c r="K15" s="186"/>
      <c r="L15" s="445" t="s">
        <v>368</v>
      </c>
      <c r="M15" s="446"/>
      <c r="N15" s="446"/>
      <c r="O15" s="446"/>
      <c r="P15" s="446"/>
      <c r="Q15" s="446"/>
      <c r="R15" s="446"/>
      <c r="S15" s="446"/>
      <c r="T15" s="446"/>
      <c r="U15" s="446"/>
      <c r="V15" s="446"/>
    </row>
    <row r="16" spans="1:22" x14ac:dyDescent="0.15">
      <c r="B16" s="221" t="str">
        <f>"    扶養等の情報は【"&amp;IF(計算シート!C49=1,計算シート!C47,計算シート!C48)&amp;"年12月31日】現在のものを入力してください。"</f>
        <v xml:space="preserve">    扶養等の情報は【2022年12月31日】現在のものを入力してください。</v>
      </c>
      <c r="C16" s="57"/>
      <c r="D16" s="216"/>
      <c r="E16" s="202"/>
      <c r="F16" s="202"/>
      <c r="G16" s="202"/>
      <c r="H16" s="202"/>
      <c r="K16" s="186"/>
      <c r="L16" s="445"/>
      <c r="M16" s="446"/>
      <c r="N16" s="446"/>
      <c r="O16" s="446"/>
      <c r="P16" s="446"/>
      <c r="Q16" s="446"/>
      <c r="R16" s="446"/>
      <c r="S16" s="446"/>
      <c r="T16" s="446"/>
      <c r="U16" s="446"/>
      <c r="V16" s="446"/>
    </row>
    <row r="17" spans="1:22" ht="7.5" customHeight="1" thickBot="1" x14ac:dyDescent="0.2">
      <c r="A17" s="81"/>
      <c r="B17" s="81"/>
      <c r="C17" s="81"/>
      <c r="D17" s="81"/>
      <c r="E17" s="81"/>
      <c r="K17" s="186"/>
      <c r="L17" s="445"/>
      <c r="M17" s="446"/>
      <c r="N17" s="446"/>
      <c r="O17" s="446"/>
      <c r="P17" s="446"/>
      <c r="Q17" s="446"/>
      <c r="R17" s="446"/>
      <c r="S17" s="446"/>
      <c r="T17" s="446"/>
      <c r="U17" s="446"/>
      <c r="V17" s="446"/>
    </row>
    <row r="18" spans="1:22" s="99" customFormat="1" ht="15.6" customHeight="1" thickTop="1" x14ac:dyDescent="0.15">
      <c r="A18" s="87" t="s">
        <v>446</v>
      </c>
      <c r="B18" s="97"/>
      <c r="C18" s="97"/>
      <c r="D18" s="97"/>
      <c r="E18" s="98"/>
      <c r="G18" s="84" t="s">
        <v>379</v>
      </c>
      <c r="H18" s="193"/>
      <c r="I18" s="98"/>
      <c r="K18" s="187"/>
      <c r="L18" s="445"/>
      <c r="M18" s="446"/>
      <c r="N18" s="446"/>
      <c r="O18" s="446"/>
      <c r="P18" s="446"/>
      <c r="Q18" s="446"/>
      <c r="R18" s="446"/>
      <c r="S18" s="446"/>
      <c r="T18" s="446"/>
      <c r="U18" s="446"/>
      <c r="V18" s="446"/>
    </row>
    <row r="19" spans="1:22" s="99" customFormat="1" ht="12.95" customHeight="1" thickBot="1" x14ac:dyDescent="0.2">
      <c r="A19" s="171" t="s">
        <v>447</v>
      </c>
      <c r="B19" s="149" t="s">
        <v>413</v>
      </c>
      <c r="C19" s="384"/>
      <c r="D19" s="381">
        <f>H12</f>
        <v>37072</v>
      </c>
      <c r="E19" s="103"/>
      <c r="G19" s="195" t="s">
        <v>380</v>
      </c>
      <c r="H19" s="76"/>
      <c r="I19" s="103"/>
      <c r="K19" s="187"/>
      <c r="L19" s="385" t="s">
        <v>619</v>
      </c>
      <c r="M19" s="211"/>
      <c r="N19" s="211"/>
      <c r="O19" s="211"/>
      <c r="P19" s="211"/>
      <c r="Q19" s="211"/>
      <c r="R19" s="211"/>
      <c r="S19" s="211"/>
      <c r="T19" s="211"/>
      <c r="U19" s="211"/>
      <c r="V19" s="211"/>
    </row>
    <row r="20" spans="1:22" s="99" customFormat="1" ht="12.95" customHeight="1" thickBot="1" x14ac:dyDescent="0.2">
      <c r="A20" s="172" t="s">
        <v>448</v>
      </c>
      <c r="B20" s="102" t="s">
        <v>295</v>
      </c>
      <c r="D20" s="58" t="s">
        <v>38</v>
      </c>
      <c r="E20" s="103"/>
      <c r="G20" s="195" t="s">
        <v>381</v>
      </c>
      <c r="H20" s="76"/>
      <c r="I20" s="103"/>
      <c r="K20" s="187"/>
      <c r="L20" s="280" t="s">
        <v>620</v>
      </c>
      <c r="M20" s="211"/>
      <c r="N20" s="211"/>
      <c r="O20" s="211"/>
      <c r="P20" s="211"/>
      <c r="Q20" s="211"/>
      <c r="R20" s="211"/>
      <c r="S20" s="211"/>
      <c r="T20" s="211"/>
      <c r="U20" s="211"/>
      <c r="V20" s="211"/>
    </row>
    <row r="21" spans="1:22" s="99" customFormat="1" ht="12.95" customHeight="1" thickBot="1" x14ac:dyDescent="0.2">
      <c r="A21" s="172" t="s">
        <v>449</v>
      </c>
      <c r="B21" s="99" t="s">
        <v>296</v>
      </c>
      <c r="C21" s="104"/>
      <c r="D21" s="91" t="s">
        <v>266</v>
      </c>
      <c r="E21" s="103"/>
      <c r="G21" s="195" t="s">
        <v>382</v>
      </c>
      <c r="H21" s="76"/>
      <c r="I21" s="103"/>
      <c r="K21" s="187"/>
      <c r="L21" s="385" t="s">
        <v>621</v>
      </c>
      <c r="M21" s="211"/>
      <c r="N21" s="211"/>
      <c r="O21" s="211"/>
      <c r="P21" s="211"/>
      <c r="Q21" s="211"/>
      <c r="R21" s="211"/>
      <c r="S21" s="211"/>
      <c r="T21" s="211"/>
      <c r="U21" s="211"/>
      <c r="V21" s="211"/>
    </row>
    <row r="22" spans="1:22" s="99" customFormat="1" ht="12.95" customHeight="1" thickBot="1" x14ac:dyDescent="0.2">
      <c r="A22" s="172" t="s">
        <v>450</v>
      </c>
      <c r="B22" s="105" t="s">
        <v>297</v>
      </c>
      <c r="C22" s="104"/>
      <c r="D22" s="74" t="s">
        <v>42</v>
      </c>
      <c r="E22" s="103"/>
      <c r="G22" s="196">
        <v>1</v>
      </c>
      <c r="H22" s="197" t="s">
        <v>383</v>
      </c>
      <c r="I22" s="199" t="s">
        <v>451</v>
      </c>
      <c r="K22" s="187"/>
      <c r="L22" s="385" t="s">
        <v>626</v>
      </c>
      <c r="M22" s="211"/>
      <c r="N22" s="211"/>
      <c r="O22" s="211"/>
      <c r="P22" s="211"/>
      <c r="Q22" s="211"/>
      <c r="R22" s="211"/>
      <c r="S22" s="211"/>
      <c r="T22" s="211"/>
      <c r="U22" s="211"/>
      <c r="V22" s="211"/>
    </row>
    <row r="23" spans="1:22" s="99" customFormat="1" ht="12.95" customHeight="1" thickBot="1" x14ac:dyDescent="0.2">
      <c r="A23" s="172" t="s">
        <v>452</v>
      </c>
      <c r="B23" s="106" t="s">
        <v>453</v>
      </c>
      <c r="C23" s="100"/>
      <c r="D23" s="58" t="s">
        <v>40</v>
      </c>
      <c r="E23" s="103"/>
      <c r="G23" s="196">
        <v>2</v>
      </c>
      <c r="H23" s="198" t="s">
        <v>454</v>
      </c>
      <c r="I23" s="199" t="s">
        <v>509</v>
      </c>
      <c r="K23" s="187"/>
      <c r="L23" s="385" t="s">
        <v>632</v>
      </c>
      <c r="M23" s="211"/>
      <c r="N23" s="211"/>
      <c r="O23" s="211"/>
      <c r="P23" s="211"/>
      <c r="Q23" s="211"/>
      <c r="R23" s="211"/>
      <c r="S23" s="211"/>
      <c r="T23" s="211"/>
      <c r="U23" s="211"/>
      <c r="V23" s="211"/>
    </row>
    <row r="24" spans="1:22" s="99" customFormat="1" ht="12.95" customHeight="1" thickBot="1" x14ac:dyDescent="0.2">
      <c r="A24" s="172" t="s">
        <v>455</v>
      </c>
      <c r="B24" s="60" t="s">
        <v>280</v>
      </c>
      <c r="C24" s="100"/>
      <c r="D24" s="74" t="s">
        <v>49</v>
      </c>
      <c r="E24" s="103"/>
      <c r="G24" s="196">
        <v>3</v>
      </c>
      <c r="H24" s="197" t="s">
        <v>456</v>
      </c>
      <c r="I24" s="199" t="s">
        <v>509</v>
      </c>
      <c r="K24" s="187"/>
      <c r="L24" s="433" t="s">
        <v>627</v>
      </c>
      <c r="M24" s="434"/>
      <c r="N24" s="434"/>
      <c r="O24" s="434"/>
      <c r="P24" s="434"/>
      <c r="Q24" s="434"/>
      <c r="R24" s="434"/>
      <c r="S24" s="434"/>
      <c r="T24" s="434"/>
      <c r="U24" s="434"/>
      <c r="V24" s="434"/>
    </row>
    <row r="25" spans="1:22" s="99" customFormat="1" ht="12.95" customHeight="1" thickBot="1" x14ac:dyDescent="0.2">
      <c r="A25" s="172" t="s">
        <v>457</v>
      </c>
      <c r="B25" s="99" t="s">
        <v>281</v>
      </c>
      <c r="D25" s="107">
        <v>0</v>
      </c>
      <c r="E25" s="101" t="s">
        <v>510</v>
      </c>
      <c r="G25" s="196">
        <v>4</v>
      </c>
      <c r="H25" s="197" t="s">
        <v>458</v>
      </c>
      <c r="I25" s="199" t="s">
        <v>511</v>
      </c>
      <c r="K25" s="187"/>
      <c r="L25" s="433"/>
      <c r="M25" s="434"/>
      <c r="N25" s="434"/>
      <c r="O25" s="434"/>
      <c r="P25" s="434"/>
      <c r="Q25" s="434"/>
      <c r="R25" s="434"/>
      <c r="S25" s="434"/>
      <c r="T25" s="434"/>
      <c r="U25" s="434"/>
      <c r="V25" s="434"/>
    </row>
    <row r="26" spans="1:22" s="99" customFormat="1" ht="12.95" customHeight="1" thickBot="1" x14ac:dyDescent="0.2">
      <c r="A26" s="172" t="s">
        <v>459</v>
      </c>
      <c r="B26" s="148" t="s">
        <v>308</v>
      </c>
      <c r="C26" s="100"/>
      <c r="D26" s="74" t="s">
        <v>49</v>
      </c>
      <c r="E26" s="103"/>
      <c r="G26" s="196">
        <v>5</v>
      </c>
      <c r="H26" s="197" t="s">
        <v>460</v>
      </c>
      <c r="I26" s="199" t="s">
        <v>509</v>
      </c>
      <c r="K26" s="187"/>
      <c r="L26" s="433"/>
      <c r="M26" s="434"/>
      <c r="N26" s="434"/>
      <c r="O26" s="434"/>
      <c r="P26" s="434"/>
      <c r="Q26" s="434"/>
      <c r="R26" s="434"/>
      <c r="S26" s="434"/>
      <c r="T26" s="434"/>
      <c r="U26" s="434"/>
      <c r="V26" s="434"/>
    </row>
    <row r="27" spans="1:22" s="99" customFormat="1" ht="12.95" customHeight="1" thickBot="1" x14ac:dyDescent="0.2">
      <c r="A27" s="173" t="s">
        <v>461</v>
      </c>
      <c r="B27" s="82" t="s">
        <v>309</v>
      </c>
      <c r="C27" s="108"/>
      <c r="D27" s="107">
        <v>0</v>
      </c>
      <c r="E27" s="109" t="s">
        <v>510</v>
      </c>
      <c r="G27" s="194"/>
      <c r="H27" s="118"/>
      <c r="I27" s="128"/>
      <c r="K27" s="187"/>
      <c r="L27" s="433"/>
      <c r="M27" s="434"/>
      <c r="N27" s="434"/>
      <c r="O27" s="434"/>
      <c r="P27" s="434"/>
      <c r="Q27" s="434"/>
      <c r="R27" s="434"/>
      <c r="S27" s="434"/>
      <c r="T27" s="434"/>
      <c r="U27" s="434"/>
      <c r="V27" s="434"/>
    </row>
    <row r="28" spans="1:22" s="99" customFormat="1" ht="3" customHeight="1" thickTop="1" x14ac:dyDescent="0.15">
      <c r="K28" s="187"/>
      <c r="L28" s="289"/>
      <c r="M28" s="190"/>
      <c r="N28" s="190"/>
      <c r="O28" s="190"/>
      <c r="P28" s="190"/>
      <c r="Q28" s="190"/>
      <c r="R28" s="190"/>
      <c r="S28" s="190"/>
      <c r="T28" s="190"/>
      <c r="U28" s="190"/>
      <c r="V28" s="190"/>
    </row>
    <row r="29" spans="1:22" s="99" customFormat="1" ht="14.1" customHeight="1" thickBot="1" x14ac:dyDescent="0.2">
      <c r="A29" s="79"/>
      <c r="B29" s="79"/>
      <c r="C29" s="80"/>
      <c r="D29" s="110" t="s">
        <v>38</v>
      </c>
      <c r="E29" s="111"/>
      <c r="F29" s="79"/>
      <c r="G29" s="80"/>
      <c r="H29" s="126" t="s">
        <v>512</v>
      </c>
      <c r="I29" s="112"/>
      <c r="J29" s="113"/>
      <c r="K29" s="187"/>
      <c r="L29" s="289"/>
      <c r="M29" s="289"/>
      <c r="N29" s="190"/>
      <c r="O29" s="190"/>
      <c r="P29" s="190"/>
      <c r="Q29" s="190"/>
      <c r="R29" s="190"/>
      <c r="S29" s="190"/>
      <c r="T29" s="190"/>
      <c r="U29" s="190"/>
      <c r="V29" s="190"/>
    </row>
    <row r="30" spans="1:22" s="99" customFormat="1" ht="15.6" customHeight="1" thickTop="1" thickBot="1" x14ac:dyDescent="0.2">
      <c r="A30" s="84" t="s">
        <v>282</v>
      </c>
      <c r="B30" s="76"/>
      <c r="C30" s="77"/>
      <c r="D30" s="76"/>
      <c r="E30" s="114"/>
      <c r="F30" s="76"/>
      <c r="G30" s="77"/>
      <c r="H30" s="127" t="s">
        <v>511</v>
      </c>
      <c r="I30" s="98"/>
      <c r="J30" s="115"/>
      <c r="K30" s="187"/>
      <c r="L30" s="254"/>
      <c r="M30" s="289"/>
      <c r="N30" s="190"/>
      <c r="O30" s="190"/>
      <c r="P30" s="190"/>
      <c r="Q30" s="190"/>
      <c r="R30" s="190"/>
      <c r="S30" s="190"/>
      <c r="T30" s="190"/>
      <c r="U30" s="190"/>
      <c r="V30" s="190"/>
    </row>
    <row r="31" spans="1:22" s="99" customFormat="1" ht="12.95" customHeight="1" thickBot="1" x14ac:dyDescent="0.2">
      <c r="A31" s="174" t="s">
        <v>462</v>
      </c>
      <c r="B31" s="149" t="s">
        <v>412</v>
      </c>
      <c r="C31" s="63"/>
      <c r="D31" s="222">
        <v>22037</v>
      </c>
      <c r="E31" s="115"/>
      <c r="F31" s="177" t="s">
        <v>463</v>
      </c>
      <c r="G31" s="77"/>
      <c r="H31" s="222">
        <v>22037</v>
      </c>
      <c r="I31" s="101"/>
      <c r="J31" s="115"/>
      <c r="K31" s="187"/>
      <c r="L31" s="289"/>
      <c r="M31" s="289"/>
      <c r="N31" s="190"/>
      <c r="O31" s="190"/>
      <c r="P31" s="190"/>
      <c r="Q31" s="190"/>
      <c r="R31" s="190"/>
      <c r="S31" s="190"/>
      <c r="T31" s="190"/>
      <c r="U31" s="190"/>
      <c r="V31" s="190"/>
    </row>
    <row r="32" spans="1:22" s="99" customFormat="1" ht="12.95" customHeight="1" thickBot="1" x14ac:dyDescent="0.2">
      <c r="A32" s="175" t="s">
        <v>464</v>
      </c>
      <c r="B32" s="60" t="s">
        <v>312</v>
      </c>
      <c r="C32" s="63"/>
      <c r="D32" s="58" t="s">
        <v>40</v>
      </c>
      <c r="E32" s="114"/>
      <c r="F32" s="178"/>
      <c r="G32" s="77"/>
      <c r="H32" s="116"/>
      <c r="I32" s="103"/>
      <c r="J32" s="115"/>
      <c r="K32" s="187"/>
      <c r="L32" s="433" t="s">
        <v>424</v>
      </c>
      <c r="M32" s="441"/>
      <c r="N32" s="441"/>
      <c r="O32" s="441"/>
      <c r="P32" s="441"/>
      <c r="Q32" s="441"/>
      <c r="R32" s="441"/>
      <c r="S32" s="441"/>
      <c r="T32" s="441"/>
      <c r="U32" s="441"/>
      <c r="V32" s="441"/>
    </row>
    <row r="33" spans="1:22" s="99" customFormat="1" ht="12.95" customHeight="1" thickBot="1" x14ac:dyDescent="0.2">
      <c r="A33" s="175" t="s">
        <v>465</v>
      </c>
      <c r="B33" s="60" t="s">
        <v>318</v>
      </c>
      <c r="C33" s="63"/>
      <c r="D33" s="58" t="s">
        <v>40</v>
      </c>
      <c r="E33" s="114"/>
      <c r="F33" s="178"/>
      <c r="G33" s="77"/>
      <c r="H33" s="116"/>
      <c r="I33" s="103"/>
      <c r="J33" s="115"/>
      <c r="K33" s="187"/>
      <c r="L33" s="433"/>
      <c r="M33" s="441"/>
      <c r="N33" s="441"/>
      <c r="O33" s="441"/>
      <c r="P33" s="441"/>
      <c r="Q33" s="441"/>
      <c r="R33" s="441"/>
      <c r="S33" s="441"/>
      <c r="T33" s="441"/>
      <c r="U33" s="441"/>
      <c r="V33" s="441"/>
    </row>
    <row r="34" spans="1:22" s="99" customFormat="1" ht="12.95" customHeight="1" thickBot="1" x14ac:dyDescent="0.2">
      <c r="A34" s="175" t="s">
        <v>466</v>
      </c>
      <c r="B34" s="62" t="s">
        <v>315</v>
      </c>
      <c r="C34" s="64"/>
      <c r="D34" s="58" t="s">
        <v>40</v>
      </c>
      <c r="E34" s="114"/>
      <c r="F34" s="178"/>
      <c r="G34" s="77"/>
      <c r="H34" s="76"/>
      <c r="I34" s="103"/>
      <c r="J34" s="115"/>
      <c r="K34" s="187"/>
      <c r="L34" s="433"/>
      <c r="M34" s="441"/>
      <c r="N34" s="441"/>
      <c r="O34" s="441"/>
      <c r="P34" s="441"/>
      <c r="Q34" s="441"/>
      <c r="R34" s="441"/>
      <c r="S34" s="441"/>
      <c r="T34" s="441"/>
      <c r="U34" s="441"/>
      <c r="V34" s="441"/>
    </row>
    <row r="35" spans="1:22" s="99" customFormat="1" ht="12.95" customHeight="1" thickBot="1" x14ac:dyDescent="0.2">
      <c r="A35" s="175" t="s">
        <v>467</v>
      </c>
      <c r="B35" s="60" t="s">
        <v>296</v>
      </c>
      <c r="C35" s="63"/>
      <c r="D35" s="59" t="s">
        <v>44</v>
      </c>
      <c r="E35" s="114"/>
      <c r="F35" s="179" t="s">
        <v>468</v>
      </c>
      <c r="G35" s="77"/>
      <c r="H35" s="59" t="s">
        <v>44</v>
      </c>
      <c r="I35" s="103"/>
      <c r="J35" s="115"/>
      <c r="K35" s="187"/>
      <c r="L35" s="289" t="s">
        <v>374</v>
      </c>
      <c r="M35" s="289"/>
      <c r="N35" s="289"/>
      <c r="O35" s="289"/>
      <c r="P35" s="289"/>
      <c r="Q35" s="289"/>
      <c r="R35" s="289"/>
      <c r="S35" s="289"/>
      <c r="T35" s="289"/>
      <c r="U35" s="289"/>
      <c r="V35" s="289"/>
    </row>
    <row r="36" spans="1:22" s="99" customFormat="1" ht="12.95" customHeight="1" thickBot="1" x14ac:dyDescent="0.2">
      <c r="A36" s="176" t="s">
        <v>469</v>
      </c>
      <c r="B36" s="82" t="s">
        <v>299</v>
      </c>
      <c r="C36" s="83"/>
      <c r="D36" s="59" t="s">
        <v>46</v>
      </c>
      <c r="E36" s="117"/>
      <c r="F36" s="118"/>
      <c r="G36" s="123"/>
      <c r="H36" s="129"/>
      <c r="I36" s="128"/>
      <c r="J36" s="115"/>
      <c r="K36" s="187"/>
      <c r="L36" s="289" t="s">
        <v>628</v>
      </c>
      <c r="M36" s="289"/>
      <c r="N36" s="289"/>
      <c r="O36" s="289"/>
      <c r="P36" s="289"/>
      <c r="Q36" s="289"/>
      <c r="R36" s="289"/>
      <c r="S36" s="289"/>
      <c r="T36" s="289"/>
      <c r="U36" s="289"/>
      <c r="V36" s="289"/>
    </row>
    <row r="37" spans="1:22" s="147" customFormat="1" ht="11.25" customHeight="1" thickTop="1" thickBot="1" x14ac:dyDescent="0.2">
      <c r="A37" s="141" t="s">
        <v>513</v>
      </c>
      <c r="B37" s="142"/>
      <c r="C37" s="143"/>
      <c r="D37" s="142"/>
      <c r="E37" s="144"/>
      <c r="F37" s="142"/>
      <c r="G37" s="143"/>
      <c r="H37" s="145"/>
      <c r="I37" s="142"/>
      <c r="J37" s="146"/>
      <c r="K37" s="188"/>
      <c r="L37" s="289"/>
      <c r="M37" s="289"/>
      <c r="N37" s="289"/>
      <c r="O37" s="289"/>
      <c r="P37" s="289"/>
      <c r="Q37" s="289"/>
      <c r="R37" s="289"/>
      <c r="S37" s="289"/>
      <c r="T37" s="289"/>
      <c r="U37" s="289"/>
      <c r="V37" s="289"/>
    </row>
    <row r="38" spans="1:22" s="99" customFormat="1" ht="15.6" customHeight="1" thickTop="1" thickBot="1" x14ac:dyDescent="0.2">
      <c r="A38" s="84" t="s">
        <v>283</v>
      </c>
      <c r="B38" s="76"/>
      <c r="C38" s="77"/>
      <c r="D38" s="76"/>
      <c r="E38" s="114"/>
      <c r="F38" s="76"/>
      <c r="G38" s="77"/>
      <c r="H38" s="127" t="s">
        <v>511</v>
      </c>
      <c r="I38" s="98"/>
      <c r="J38" s="115"/>
      <c r="K38" s="187"/>
      <c r="L38" s="433" t="s">
        <v>633</v>
      </c>
      <c r="M38" s="441"/>
      <c r="N38" s="441"/>
      <c r="O38" s="441"/>
      <c r="P38" s="441"/>
      <c r="Q38" s="441"/>
      <c r="R38" s="441"/>
      <c r="S38" s="441"/>
      <c r="T38" s="441"/>
      <c r="U38" s="441"/>
      <c r="V38" s="441"/>
    </row>
    <row r="39" spans="1:22" s="99" customFormat="1" ht="12.95" customHeight="1" thickBot="1" x14ac:dyDescent="0.2">
      <c r="A39" s="174" t="s">
        <v>470</v>
      </c>
      <c r="B39" s="60" t="s">
        <v>272</v>
      </c>
      <c r="C39" s="63"/>
      <c r="D39" s="74" t="s">
        <v>369</v>
      </c>
      <c r="E39" s="114"/>
      <c r="F39" s="177" t="s">
        <v>471</v>
      </c>
      <c r="G39" s="77"/>
      <c r="H39" s="74" t="s">
        <v>49</v>
      </c>
      <c r="I39" s="103"/>
      <c r="J39" s="115"/>
      <c r="K39" s="187"/>
      <c r="L39" s="433"/>
      <c r="M39" s="441"/>
      <c r="N39" s="441"/>
      <c r="O39" s="441"/>
      <c r="P39" s="441"/>
      <c r="Q39" s="441"/>
      <c r="R39" s="441"/>
      <c r="S39" s="441"/>
      <c r="T39" s="441"/>
      <c r="U39" s="441"/>
      <c r="V39" s="441"/>
    </row>
    <row r="40" spans="1:22" s="99" customFormat="1" ht="12.95" customHeight="1" thickBot="1" x14ac:dyDescent="0.2">
      <c r="A40" s="175" t="s">
        <v>472</v>
      </c>
      <c r="B40" s="60" t="s">
        <v>274</v>
      </c>
      <c r="C40" s="63"/>
      <c r="D40" s="107">
        <v>42000</v>
      </c>
      <c r="E40" s="115" t="s">
        <v>514</v>
      </c>
      <c r="F40" s="179" t="s">
        <v>473</v>
      </c>
      <c r="G40" s="77"/>
      <c r="H40" s="107">
        <v>2700000</v>
      </c>
      <c r="I40" s="101" t="s">
        <v>510</v>
      </c>
      <c r="J40" s="115"/>
      <c r="K40" s="187"/>
      <c r="L40" s="433"/>
      <c r="M40" s="441"/>
      <c r="N40" s="441"/>
      <c r="O40" s="441"/>
      <c r="P40" s="441"/>
      <c r="Q40" s="441"/>
      <c r="R40" s="441"/>
      <c r="S40" s="441"/>
      <c r="T40" s="441"/>
      <c r="U40" s="441"/>
      <c r="V40" s="441"/>
    </row>
    <row r="41" spans="1:22" s="99" customFormat="1" ht="12.95" customHeight="1" thickBot="1" x14ac:dyDescent="0.2">
      <c r="A41" s="175" t="s">
        <v>474</v>
      </c>
      <c r="B41" s="60" t="s">
        <v>273</v>
      </c>
      <c r="C41" s="63"/>
      <c r="D41" s="74" t="s">
        <v>369</v>
      </c>
      <c r="E41" s="114"/>
      <c r="F41" s="179" t="s">
        <v>475</v>
      </c>
      <c r="G41" s="77"/>
      <c r="H41" s="74" t="s">
        <v>49</v>
      </c>
      <c r="I41" s="103"/>
      <c r="J41" s="115"/>
      <c r="K41" s="187"/>
      <c r="L41" s="433"/>
      <c r="M41" s="441"/>
      <c r="N41" s="441"/>
      <c r="O41" s="441"/>
      <c r="P41" s="441"/>
      <c r="Q41" s="441"/>
      <c r="R41" s="441"/>
      <c r="S41" s="441"/>
      <c r="T41" s="441"/>
      <c r="U41" s="441"/>
      <c r="V41" s="441"/>
    </row>
    <row r="42" spans="1:22" s="99" customFormat="1" ht="12.95" customHeight="1" thickBot="1" x14ac:dyDescent="0.2">
      <c r="A42" s="175" t="s">
        <v>476</v>
      </c>
      <c r="B42" s="60" t="s">
        <v>275</v>
      </c>
      <c r="C42" s="63"/>
      <c r="D42" s="107">
        <v>0</v>
      </c>
      <c r="E42" s="115" t="s">
        <v>514</v>
      </c>
      <c r="F42" s="179" t="s">
        <v>477</v>
      </c>
      <c r="G42" s="77"/>
      <c r="H42" s="107">
        <v>0</v>
      </c>
      <c r="I42" s="121" t="s">
        <v>510</v>
      </c>
      <c r="J42" s="115"/>
      <c r="K42" s="187"/>
      <c r="L42" s="433"/>
      <c r="M42" s="441"/>
      <c r="N42" s="441"/>
      <c r="O42" s="441"/>
      <c r="P42" s="441"/>
      <c r="Q42" s="441"/>
      <c r="R42" s="441"/>
      <c r="S42" s="441"/>
      <c r="T42" s="441"/>
      <c r="U42" s="441"/>
      <c r="V42" s="441"/>
    </row>
    <row r="43" spans="1:22" s="99" customFormat="1" ht="12.95" customHeight="1" thickBot="1" x14ac:dyDescent="0.2">
      <c r="A43" s="175" t="s">
        <v>478</v>
      </c>
      <c r="B43" s="149" t="s">
        <v>306</v>
      </c>
      <c r="C43" s="63"/>
      <c r="D43" s="74" t="s">
        <v>369</v>
      </c>
      <c r="E43" s="114"/>
      <c r="F43" s="179" t="s">
        <v>479</v>
      </c>
      <c r="G43" s="77"/>
      <c r="H43" s="74" t="s">
        <v>49</v>
      </c>
      <c r="I43" s="122"/>
      <c r="J43" s="115"/>
      <c r="K43" s="187"/>
      <c r="L43" s="433"/>
      <c r="M43" s="441"/>
      <c r="N43" s="441"/>
      <c r="O43" s="441"/>
      <c r="P43" s="441"/>
      <c r="Q43" s="441"/>
      <c r="R43" s="441"/>
      <c r="S43" s="441"/>
      <c r="T43" s="441"/>
      <c r="U43" s="441"/>
      <c r="V43" s="441"/>
    </row>
    <row r="44" spans="1:22" s="99" customFormat="1" ht="12.95" customHeight="1" thickBot="1" x14ac:dyDescent="0.2">
      <c r="A44" s="176" t="s">
        <v>480</v>
      </c>
      <c r="B44" s="86" t="s">
        <v>307</v>
      </c>
      <c r="C44" s="70"/>
      <c r="D44" s="107">
        <v>3500</v>
      </c>
      <c r="E44" s="117" t="s">
        <v>514</v>
      </c>
      <c r="F44" s="181" t="s">
        <v>481</v>
      </c>
      <c r="G44" s="119"/>
      <c r="H44" s="107">
        <v>0</v>
      </c>
      <c r="I44" s="121" t="s">
        <v>510</v>
      </c>
      <c r="J44" s="115"/>
      <c r="K44" s="187"/>
      <c r="L44" s="433"/>
      <c r="M44" s="441"/>
      <c r="N44" s="441"/>
      <c r="O44" s="441"/>
      <c r="P44" s="441"/>
      <c r="Q44" s="441"/>
      <c r="R44" s="441"/>
      <c r="S44" s="441"/>
      <c r="T44" s="441"/>
      <c r="U44" s="441"/>
      <c r="V44" s="441"/>
    </row>
    <row r="45" spans="1:22" s="99" customFormat="1" ht="7.5" customHeight="1" thickTop="1" thickBot="1" x14ac:dyDescent="0.2">
      <c r="A45" s="79"/>
      <c r="B45" s="79"/>
      <c r="C45" s="85"/>
      <c r="D45" s="79"/>
      <c r="E45" s="120"/>
      <c r="F45" s="79"/>
      <c r="G45" s="85"/>
      <c r="H45" s="79"/>
      <c r="I45" s="124"/>
      <c r="J45" s="115"/>
      <c r="K45" s="187"/>
      <c r="L45" s="433"/>
      <c r="M45" s="441"/>
      <c r="N45" s="441"/>
      <c r="O45" s="441"/>
      <c r="P45" s="441"/>
      <c r="Q45" s="441"/>
      <c r="R45" s="441"/>
      <c r="S45" s="441"/>
      <c r="T45" s="441"/>
      <c r="U45" s="441"/>
      <c r="V45" s="441"/>
    </row>
    <row r="46" spans="1:22" s="99" customFormat="1" ht="15.6" customHeight="1" thickTop="1" thickBot="1" x14ac:dyDescent="0.2">
      <c r="A46" s="87" t="s">
        <v>314</v>
      </c>
      <c r="B46" s="76"/>
      <c r="C46" s="77"/>
      <c r="D46" s="76"/>
      <c r="E46" s="114"/>
      <c r="F46" s="76"/>
      <c r="G46" s="77"/>
      <c r="H46" s="127" t="s">
        <v>511</v>
      </c>
      <c r="I46" s="98"/>
      <c r="J46" s="115"/>
      <c r="K46" s="187"/>
      <c r="L46" s="433"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2023年１月分の報告省令レート（ただし、米ドルと日本円間のレートについては同年１月１日時点の最新の為替レート）を用いてください。</v>
      </c>
      <c r="M46" s="442"/>
      <c r="N46" s="442"/>
      <c r="O46" s="442"/>
      <c r="P46" s="442"/>
      <c r="Q46" s="442"/>
      <c r="R46" s="442"/>
      <c r="S46" s="442"/>
      <c r="T46" s="442"/>
      <c r="U46" s="442"/>
      <c r="V46" s="442"/>
    </row>
    <row r="47" spans="1:22" s="99" customFormat="1" ht="12.95" customHeight="1" thickBot="1" x14ac:dyDescent="0.2">
      <c r="A47" s="175" t="s">
        <v>482</v>
      </c>
      <c r="B47" s="60" t="s">
        <v>0</v>
      </c>
      <c r="C47" s="63"/>
      <c r="D47" s="58">
        <v>0</v>
      </c>
      <c r="E47" s="115" t="s">
        <v>48</v>
      </c>
      <c r="F47" s="177" t="s">
        <v>483</v>
      </c>
      <c r="G47" s="77"/>
      <c r="H47" s="58">
        <v>2</v>
      </c>
      <c r="I47" s="101" t="s">
        <v>48</v>
      </c>
      <c r="J47" s="115"/>
      <c r="K47" s="187"/>
      <c r="L47" s="443"/>
      <c r="M47" s="442"/>
      <c r="N47" s="442"/>
      <c r="O47" s="442"/>
      <c r="P47" s="442"/>
      <c r="Q47" s="442"/>
      <c r="R47" s="442"/>
      <c r="S47" s="442"/>
      <c r="T47" s="442"/>
      <c r="U47" s="442"/>
      <c r="V47" s="442"/>
    </row>
    <row r="48" spans="1:22" s="99" customFormat="1" ht="12.95" customHeight="1" thickBot="1" x14ac:dyDescent="0.2">
      <c r="A48" s="175" t="s">
        <v>484</v>
      </c>
      <c r="B48" s="60" t="s">
        <v>1</v>
      </c>
      <c r="C48" s="63"/>
      <c r="D48" s="58">
        <v>0</v>
      </c>
      <c r="E48" s="115" t="s">
        <v>48</v>
      </c>
      <c r="F48" s="179" t="s">
        <v>485</v>
      </c>
      <c r="G48" s="77"/>
      <c r="H48" s="58">
        <v>0</v>
      </c>
      <c r="I48" s="101" t="s">
        <v>48</v>
      </c>
      <c r="J48" s="115"/>
      <c r="K48" s="187"/>
      <c r="L48" s="443"/>
      <c r="M48" s="442"/>
      <c r="N48" s="442"/>
      <c r="O48" s="442"/>
      <c r="P48" s="442"/>
      <c r="Q48" s="442"/>
      <c r="R48" s="442"/>
      <c r="S48" s="442"/>
      <c r="T48" s="442"/>
      <c r="U48" s="442"/>
      <c r="V48" s="442"/>
    </row>
    <row r="49" spans="1:22" s="99" customFormat="1" ht="12.95" customHeight="1" thickBot="1" x14ac:dyDescent="0.2">
      <c r="A49" s="175" t="s">
        <v>486</v>
      </c>
      <c r="B49" s="60" t="s">
        <v>2</v>
      </c>
      <c r="C49" s="63"/>
      <c r="D49" s="58">
        <v>1</v>
      </c>
      <c r="E49" s="115" t="s">
        <v>48</v>
      </c>
      <c r="F49" s="179" t="s">
        <v>487</v>
      </c>
      <c r="G49" s="77"/>
      <c r="H49" s="58">
        <v>0</v>
      </c>
      <c r="I49" s="101" t="s">
        <v>48</v>
      </c>
      <c r="J49" s="115"/>
      <c r="K49" s="187"/>
      <c r="L49" s="443"/>
      <c r="M49" s="442"/>
      <c r="N49" s="442"/>
      <c r="O49" s="442"/>
      <c r="P49" s="442"/>
      <c r="Q49" s="442"/>
      <c r="R49" s="442"/>
      <c r="S49" s="442"/>
      <c r="T49" s="442"/>
      <c r="U49" s="442"/>
      <c r="V49" s="442"/>
    </row>
    <row r="50" spans="1:22" s="99" customFormat="1" ht="12.95" customHeight="1" thickBot="1" x14ac:dyDescent="0.2">
      <c r="A50" s="175" t="s">
        <v>488</v>
      </c>
      <c r="B50" s="60" t="s">
        <v>3</v>
      </c>
      <c r="C50" s="63"/>
      <c r="D50" s="58">
        <v>0</v>
      </c>
      <c r="E50" s="115" t="s">
        <v>48</v>
      </c>
      <c r="F50" s="179" t="s">
        <v>489</v>
      </c>
      <c r="G50" s="77"/>
      <c r="H50" s="58">
        <v>0</v>
      </c>
      <c r="I50" s="101" t="s">
        <v>48</v>
      </c>
      <c r="J50" s="115"/>
      <c r="K50" s="187"/>
      <c r="L50" s="433" t="s">
        <v>629</v>
      </c>
      <c r="M50" s="441"/>
      <c r="N50" s="441"/>
      <c r="O50" s="441"/>
      <c r="P50" s="441"/>
      <c r="Q50" s="441"/>
      <c r="R50" s="441"/>
      <c r="S50" s="441"/>
      <c r="T50" s="441"/>
      <c r="U50" s="441"/>
      <c r="V50" s="441"/>
    </row>
    <row r="51" spans="1:22" s="99" customFormat="1" ht="12.95" customHeight="1" thickBot="1" x14ac:dyDescent="0.2">
      <c r="A51" s="175" t="s">
        <v>490</v>
      </c>
      <c r="B51" s="60" t="s">
        <v>4</v>
      </c>
      <c r="C51" s="63"/>
      <c r="D51" s="58">
        <v>0</v>
      </c>
      <c r="E51" s="115" t="s">
        <v>48</v>
      </c>
      <c r="F51" s="179" t="s">
        <v>491</v>
      </c>
      <c r="G51" s="77"/>
      <c r="H51" s="58">
        <v>0</v>
      </c>
      <c r="I51" s="101" t="s">
        <v>48</v>
      </c>
      <c r="J51" s="115"/>
      <c r="K51" s="187"/>
      <c r="L51" s="433"/>
      <c r="M51" s="441"/>
      <c r="N51" s="441"/>
      <c r="O51" s="441"/>
      <c r="P51" s="441"/>
      <c r="Q51" s="441"/>
      <c r="R51" s="441"/>
      <c r="S51" s="441"/>
      <c r="T51" s="441"/>
      <c r="U51" s="441"/>
      <c r="V51" s="441"/>
    </row>
    <row r="52" spans="1:22" s="99" customFormat="1" ht="12.95" customHeight="1" thickBot="1" x14ac:dyDescent="0.2">
      <c r="A52" s="175" t="s">
        <v>492</v>
      </c>
      <c r="B52" s="60" t="s">
        <v>5</v>
      </c>
      <c r="C52" s="63"/>
      <c r="D52" s="58">
        <v>0</v>
      </c>
      <c r="E52" s="115" t="s">
        <v>48</v>
      </c>
      <c r="F52" s="179" t="s">
        <v>493</v>
      </c>
      <c r="G52" s="77"/>
      <c r="H52" s="58">
        <v>0</v>
      </c>
      <c r="I52" s="101" t="s">
        <v>48</v>
      </c>
      <c r="J52" s="115"/>
      <c r="K52" s="187"/>
      <c r="L52" s="433"/>
      <c r="M52" s="441"/>
      <c r="N52" s="441"/>
      <c r="O52" s="441"/>
      <c r="P52" s="441"/>
      <c r="Q52" s="441"/>
      <c r="R52" s="441"/>
      <c r="S52" s="441"/>
      <c r="T52" s="441"/>
      <c r="U52" s="441"/>
      <c r="V52" s="441"/>
    </row>
    <row r="53" spans="1:22" s="99" customFormat="1" ht="12.95" customHeight="1" thickBot="1" x14ac:dyDescent="0.2">
      <c r="A53" s="175" t="s">
        <v>494</v>
      </c>
      <c r="B53" s="60" t="s">
        <v>302</v>
      </c>
      <c r="C53" s="63"/>
      <c r="D53" s="58">
        <v>0</v>
      </c>
      <c r="E53" s="115" t="s">
        <v>48</v>
      </c>
      <c r="F53" s="179" t="s">
        <v>495</v>
      </c>
      <c r="G53" s="77"/>
      <c r="H53" s="58">
        <v>0</v>
      </c>
      <c r="I53" s="101" t="s">
        <v>48</v>
      </c>
      <c r="J53" s="115"/>
      <c r="K53" s="187"/>
      <c r="L53" s="433" t="s">
        <v>400</v>
      </c>
      <c r="M53" s="441"/>
      <c r="N53" s="441"/>
      <c r="O53" s="441"/>
      <c r="P53" s="441"/>
      <c r="Q53" s="441"/>
      <c r="R53" s="441"/>
      <c r="S53" s="441"/>
      <c r="T53" s="441"/>
      <c r="U53" s="441"/>
      <c r="V53" s="441"/>
    </row>
    <row r="54" spans="1:22" s="99" customFormat="1" ht="12.95" customHeight="1" thickBot="1" x14ac:dyDescent="0.2">
      <c r="A54" s="175" t="s">
        <v>496</v>
      </c>
      <c r="B54" s="61" t="s">
        <v>303</v>
      </c>
      <c r="C54" s="65"/>
      <c r="D54" s="58">
        <v>0</v>
      </c>
      <c r="E54" s="115" t="s">
        <v>48</v>
      </c>
      <c r="F54" s="179" t="s">
        <v>497</v>
      </c>
      <c r="G54" s="77"/>
      <c r="H54" s="58">
        <v>0</v>
      </c>
      <c r="I54" s="101" t="s">
        <v>48</v>
      </c>
      <c r="J54" s="115"/>
      <c r="K54" s="187"/>
      <c r="L54" s="433"/>
      <c r="M54" s="441"/>
      <c r="N54" s="441"/>
      <c r="O54" s="441"/>
      <c r="P54" s="441"/>
      <c r="Q54" s="441"/>
      <c r="R54" s="441"/>
      <c r="S54" s="441"/>
      <c r="T54" s="441"/>
      <c r="U54" s="441"/>
      <c r="V54" s="441"/>
    </row>
    <row r="55" spans="1:22" s="99" customFormat="1" ht="12.95" customHeight="1" thickBot="1" x14ac:dyDescent="0.2">
      <c r="A55" s="176" t="s">
        <v>498</v>
      </c>
      <c r="B55" s="125" t="s">
        <v>304</v>
      </c>
      <c r="C55" s="83"/>
      <c r="D55" s="58">
        <v>0</v>
      </c>
      <c r="E55" s="117" t="s">
        <v>48</v>
      </c>
      <c r="F55" s="182" t="s">
        <v>499</v>
      </c>
      <c r="G55" s="119"/>
      <c r="H55" s="58">
        <v>0</v>
      </c>
      <c r="I55" s="109" t="s">
        <v>48</v>
      </c>
      <c r="J55" s="115"/>
      <c r="K55" s="187"/>
      <c r="L55" s="433"/>
      <c r="M55" s="441"/>
      <c r="N55" s="441"/>
      <c r="O55" s="441"/>
      <c r="P55" s="441"/>
      <c r="Q55" s="441"/>
      <c r="R55" s="441"/>
      <c r="S55" s="441"/>
      <c r="T55" s="441"/>
      <c r="U55" s="441"/>
      <c r="V55" s="441"/>
    </row>
    <row r="56" spans="1:22" ht="6.6" customHeight="1" thickTop="1" x14ac:dyDescent="0.15">
      <c r="C56" s="66"/>
      <c r="D56" s="67"/>
      <c r="E56" s="68"/>
      <c r="G56" s="66"/>
      <c r="H56" s="69"/>
      <c r="I56" s="69"/>
      <c r="J56" s="68"/>
      <c r="K56" s="186"/>
      <c r="L56" s="190"/>
      <c r="M56" s="190"/>
      <c r="N56" s="190"/>
      <c r="O56" s="190"/>
      <c r="P56" s="190"/>
      <c r="Q56" s="190"/>
      <c r="R56" s="190"/>
      <c r="S56" s="190"/>
      <c r="T56" s="190"/>
      <c r="U56" s="190"/>
      <c r="V56" s="190"/>
    </row>
    <row r="57" spans="1:22" ht="12.75" hidden="1" customHeight="1" x14ac:dyDescent="0.15">
      <c r="B57" t="s">
        <v>294</v>
      </c>
      <c r="K57" s="186"/>
      <c r="L57" s="190"/>
      <c r="M57" s="190"/>
      <c r="N57" s="190"/>
      <c r="O57" s="190"/>
      <c r="P57" s="190"/>
      <c r="Q57" s="190"/>
      <c r="R57" s="190"/>
      <c r="S57" s="190"/>
      <c r="T57" s="190"/>
      <c r="U57" s="190"/>
      <c r="V57" s="190"/>
    </row>
    <row r="58" spans="1:22" ht="17.25" hidden="1" customHeight="1" thickBot="1" x14ac:dyDescent="0.4">
      <c r="B58" s="78" t="s">
        <v>38</v>
      </c>
      <c r="C58" s="78"/>
      <c r="D58" s="183" t="s">
        <v>500</v>
      </c>
      <c r="E58" s="78"/>
      <c r="H58" s="78" t="s">
        <v>372</v>
      </c>
      <c r="I58" s="78"/>
      <c r="K58" s="186"/>
      <c r="L58" s="190" t="s">
        <v>375</v>
      </c>
      <c r="M58" s="190"/>
      <c r="N58" s="190"/>
      <c r="O58" s="190"/>
      <c r="P58" s="190"/>
      <c r="Q58" s="190"/>
      <c r="R58" s="190"/>
      <c r="S58" s="190"/>
      <c r="T58" s="190"/>
      <c r="U58" s="190"/>
      <c r="V58" s="190"/>
    </row>
    <row r="59" spans="1:22" ht="23.25" hidden="1" customHeight="1" thickBot="1" x14ac:dyDescent="0.25">
      <c r="B59" s="89" t="s">
        <v>279</v>
      </c>
      <c r="C59" s="89"/>
      <c r="D59" s="184" t="s">
        <v>370</v>
      </c>
      <c r="E59" s="89"/>
      <c r="H59" s="78" t="s">
        <v>373</v>
      </c>
      <c r="I59" s="78"/>
      <c r="K59" s="186"/>
      <c r="L59" s="190"/>
      <c r="M59" s="190"/>
      <c r="N59" s="190"/>
      <c r="O59" s="190"/>
      <c r="P59" s="190"/>
      <c r="Q59" s="190"/>
      <c r="R59" s="190"/>
      <c r="S59" s="190"/>
      <c r="T59" s="190"/>
      <c r="U59" s="190"/>
      <c r="V59" s="190"/>
    </row>
    <row r="60" spans="1:22" ht="6.75" customHeight="1" x14ac:dyDescent="0.15">
      <c r="K60" s="186"/>
      <c r="L60" s="190"/>
      <c r="M60" s="190"/>
      <c r="N60" s="190"/>
      <c r="O60" s="190"/>
      <c r="P60" s="190"/>
      <c r="Q60" s="190"/>
      <c r="R60" s="190"/>
      <c r="S60" s="190"/>
      <c r="T60" s="190"/>
      <c r="U60" s="190"/>
      <c r="V60" s="190"/>
    </row>
    <row r="61" spans="1:22" x14ac:dyDescent="0.15">
      <c r="B61" t="s">
        <v>310</v>
      </c>
      <c r="K61" s="186"/>
      <c r="L61" s="190" t="s">
        <v>623</v>
      </c>
      <c r="M61" s="190"/>
      <c r="N61" s="190"/>
      <c r="O61" s="190"/>
      <c r="P61" s="190"/>
      <c r="Q61" s="190"/>
      <c r="R61" s="190"/>
      <c r="S61" s="190"/>
      <c r="T61" s="190"/>
      <c r="U61" s="190"/>
      <c r="V61" s="190"/>
    </row>
    <row r="62" spans="1:22" ht="13.5" customHeight="1" x14ac:dyDescent="0.15">
      <c r="B62" s="95" t="s">
        <v>395</v>
      </c>
      <c r="K62" s="186"/>
      <c r="L62" s="433" t="s">
        <v>635</v>
      </c>
      <c r="M62" s="434"/>
      <c r="N62" s="434"/>
      <c r="O62" s="434"/>
      <c r="P62" s="434"/>
      <c r="Q62" s="434"/>
      <c r="R62" s="434"/>
      <c r="S62" s="434"/>
      <c r="T62" s="434"/>
      <c r="U62" s="434"/>
      <c r="V62" s="434"/>
    </row>
    <row r="63" spans="1:22" ht="13.5" customHeight="1" x14ac:dyDescent="0.15">
      <c r="B63" s="96" t="s">
        <v>311</v>
      </c>
      <c r="K63" s="186"/>
      <c r="L63" s="433"/>
      <c r="M63" s="434"/>
      <c r="N63" s="434"/>
      <c r="O63" s="434"/>
      <c r="P63" s="434"/>
      <c r="Q63" s="434"/>
      <c r="R63" s="434"/>
      <c r="S63" s="434"/>
      <c r="T63" s="434"/>
      <c r="U63" s="434"/>
      <c r="V63" s="434"/>
    </row>
    <row r="64" spans="1:22" x14ac:dyDescent="0.15">
      <c r="B64" s="96" t="s">
        <v>415</v>
      </c>
      <c r="K64" s="186"/>
      <c r="L64" s="433"/>
      <c r="M64" s="434"/>
      <c r="N64" s="434"/>
      <c r="O64" s="434"/>
      <c r="P64" s="434"/>
      <c r="Q64" s="434"/>
      <c r="R64" s="434"/>
      <c r="S64" s="434"/>
      <c r="T64" s="434"/>
      <c r="U64" s="434"/>
      <c r="V64" s="434"/>
    </row>
    <row r="65" spans="1:22" ht="13.5" customHeight="1" x14ac:dyDescent="0.15">
      <c r="B65" s="96" t="s">
        <v>394</v>
      </c>
      <c r="K65" s="186"/>
      <c r="L65" s="433"/>
      <c r="M65" s="434"/>
      <c r="N65" s="434"/>
      <c r="O65" s="434"/>
      <c r="P65" s="434"/>
      <c r="Q65" s="434"/>
      <c r="R65" s="434"/>
      <c r="S65" s="434"/>
      <c r="T65" s="434"/>
      <c r="U65" s="434"/>
      <c r="V65" s="434"/>
    </row>
    <row r="66" spans="1:22" x14ac:dyDescent="0.15">
      <c r="B66" s="150" t="s">
        <v>416</v>
      </c>
      <c r="C66" s="151"/>
      <c r="D66" s="151"/>
      <c r="E66" s="151"/>
      <c r="F66" s="151"/>
      <c r="G66" s="151"/>
      <c r="H66" s="151"/>
      <c r="K66" s="186"/>
      <c r="L66" s="433" t="s">
        <v>634</v>
      </c>
      <c r="M66" s="434"/>
      <c r="N66" s="434"/>
      <c r="O66" s="434"/>
      <c r="P66" s="434"/>
      <c r="Q66" s="434"/>
      <c r="R66" s="434"/>
      <c r="S66" s="434"/>
      <c r="T66" s="434"/>
      <c r="U66" s="434"/>
      <c r="V66" s="434"/>
    </row>
    <row r="67" spans="1:22" x14ac:dyDescent="0.15">
      <c r="A67" s="57"/>
      <c r="B67" s="200" t="s">
        <v>501</v>
      </c>
      <c r="C67" s="57"/>
      <c r="D67" s="57"/>
      <c r="E67" s="57"/>
      <c r="F67" s="57"/>
      <c r="G67" s="57"/>
      <c r="H67" s="57"/>
      <c r="I67" s="57"/>
      <c r="J67" s="57"/>
      <c r="K67" s="186"/>
      <c r="L67" s="433"/>
      <c r="M67" s="434"/>
      <c r="N67" s="434"/>
      <c r="O67" s="434"/>
      <c r="P67" s="434"/>
      <c r="Q67" s="434"/>
      <c r="R67" s="434"/>
      <c r="S67" s="434"/>
      <c r="T67" s="434"/>
      <c r="U67" s="434"/>
      <c r="V67" s="434"/>
    </row>
    <row r="68" spans="1:22" ht="10.5" customHeight="1" x14ac:dyDescent="0.15">
      <c r="A68" s="140"/>
      <c r="B68" s="201" t="s">
        <v>417</v>
      </c>
      <c r="C68" s="140"/>
      <c r="D68" s="140"/>
      <c r="E68" s="140"/>
      <c r="F68" s="140"/>
      <c r="G68" s="140"/>
      <c r="H68" s="140"/>
      <c r="I68" s="140"/>
      <c r="J68" s="140"/>
      <c r="K68" s="140"/>
      <c r="L68" s="433"/>
      <c r="M68" s="434"/>
      <c r="N68" s="434"/>
      <c r="O68" s="434"/>
      <c r="P68" s="434"/>
      <c r="Q68" s="434"/>
      <c r="R68" s="434"/>
      <c r="S68" s="434"/>
      <c r="T68" s="434"/>
      <c r="U68" s="434"/>
      <c r="V68" s="434"/>
    </row>
    <row r="69" spans="1:22" ht="10.5" customHeight="1" x14ac:dyDescent="0.15">
      <c r="B69" s="93" t="s">
        <v>301</v>
      </c>
      <c r="L69" s="433"/>
      <c r="M69" s="434"/>
      <c r="N69" s="434"/>
      <c r="O69" s="434"/>
      <c r="P69" s="434"/>
      <c r="Q69" s="434"/>
      <c r="R69" s="434"/>
      <c r="S69" s="434"/>
      <c r="T69" s="434"/>
      <c r="U69" s="434"/>
      <c r="V69" s="434"/>
    </row>
    <row r="70" spans="1:22" x14ac:dyDescent="0.15">
      <c r="A70" s="92"/>
      <c r="B70" s="130" t="s">
        <v>502</v>
      </c>
      <c r="C70" s="131"/>
      <c r="D70" s="132">
        <v>0</v>
      </c>
      <c r="E70" s="133"/>
      <c r="F70" s="421"/>
      <c r="G70" s="422"/>
      <c r="H70" s="422"/>
      <c r="I70" s="423"/>
      <c r="K70" s="186"/>
      <c r="L70" s="433" t="s">
        <v>636</v>
      </c>
      <c r="M70" s="434"/>
      <c r="N70" s="434"/>
      <c r="O70" s="434"/>
      <c r="P70" s="434"/>
      <c r="Q70" s="434"/>
      <c r="R70" s="434"/>
      <c r="S70" s="434"/>
      <c r="T70" s="434"/>
      <c r="U70" s="434"/>
      <c r="V70" s="434"/>
    </row>
    <row r="71" spans="1:22" ht="10.5" customHeight="1" x14ac:dyDescent="0.15">
      <c r="A71" s="94"/>
      <c r="B71" s="134" t="s">
        <v>503</v>
      </c>
      <c r="C71" s="135"/>
      <c r="D71" s="136">
        <v>0</v>
      </c>
      <c r="E71" s="137"/>
      <c r="F71" s="138"/>
      <c r="G71" s="138"/>
      <c r="H71" s="136">
        <v>0</v>
      </c>
      <c r="I71" s="139"/>
      <c r="J71" s="57"/>
      <c r="K71" s="186"/>
      <c r="L71" s="433"/>
      <c r="M71" s="434"/>
      <c r="N71" s="434"/>
      <c r="O71" s="434"/>
      <c r="P71" s="434"/>
      <c r="Q71" s="434"/>
      <c r="R71" s="434"/>
      <c r="S71" s="434"/>
      <c r="T71" s="434"/>
      <c r="U71" s="434"/>
      <c r="V71" s="434"/>
    </row>
    <row r="72" spans="1:22" ht="10.5" customHeight="1" x14ac:dyDescent="0.15">
      <c r="B72" s="152" t="s">
        <v>504</v>
      </c>
      <c r="C72" s="153"/>
      <c r="D72" s="154">
        <v>0</v>
      </c>
      <c r="E72" s="155"/>
      <c r="F72" s="156"/>
      <c r="G72" s="156"/>
      <c r="H72" s="154">
        <v>0</v>
      </c>
      <c r="I72" s="157"/>
      <c r="J72" s="57"/>
      <c r="K72" s="186"/>
      <c r="L72" s="344" t="s">
        <v>425</v>
      </c>
      <c r="M72" s="388"/>
      <c r="N72" s="388"/>
      <c r="O72" s="388"/>
      <c r="P72" s="388"/>
      <c r="Q72" s="388"/>
      <c r="R72" s="388"/>
      <c r="S72" s="388"/>
      <c r="T72" s="388"/>
      <c r="U72" s="388"/>
      <c r="V72" s="388"/>
    </row>
    <row r="73" spans="1:22" ht="10.5" customHeight="1" x14ac:dyDescent="0.15">
      <c r="B73" s="158" t="s">
        <v>505</v>
      </c>
      <c r="C73" s="159"/>
      <c r="D73" s="160">
        <v>0</v>
      </c>
      <c r="E73" s="161"/>
      <c r="F73" s="162"/>
      <c r="G73" s="162"/>
      <c r="H73" s="160">
        <v>0</v>
      </c>
      <c r="I73" s="163"/>
      <c r="K73" s="189" t="s">
        <v>508</v>
      </c>
      <c r="L73" s="387" t="s">
        <v>637</v>
      </c>
      <c r="M73" s="388"/>
      <c r="N73" s="388"/>
      <c r="O73" s="388"/>
      <c r="P73" s="388"/>
      <c r="Q73" s="388"/>
      <c r="R73" s="388"/>
      <c r="S73" s="388"/>
      <c r="T73" s="388"/>
      <c r="U73" s="388"/>
      <c r="V73" s="388"/>
    </row>
    <row r="74"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 ref="L46:V49"/>
    <mergeCell ref="L53:V55"/>
    <mergeCell ref="L70:V71"/>
    <mergeCell ref="L66:V69"/>
    <mergeCell ref="L62:V65"/>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200-000000000000}">
      <formula1>1</formula1>
      <formula2>73051</formula2>
    </dataValidation>
    <dataValidation type="whole" allowBlank="1" showInputMessage="1" showErrorMessage="1" sqref="D10" xr:uid="{00000000-0002-0000-0200-000001000000}">
      <formula1>2000</formula1>
      <formula2>9999</formula2>
    </dataValidation>
    <dataValidation type="list" allowBlank="1" showInputMessage="1" showErrorMessage="1" sqref="D22:D23" xr:uid="{00000000-0002-0000-0200-000002000000}">
      <formula1>$F$3:$F$4</formula1>
    </dataValidation>
    <dataValidation type="date" allowBlank="1" showInputMessage="1" showErrorMessage="1" sqref="H8" xr:uid="{00000000-0002-0000-0200-000003000000}">
      <formula1>1</formula1>
      <formula2>401404</formula2>
    </dataValidation>
    <dataValidation type="list" allowBlank="1" showInputMessage="1" showErrorMessage="1" sqref="H35" xr:uid="{00000000-0002-0000-0200-000004000000}">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200-000007000000}">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78"/>
  <sheetViews>
    <sheetView workbookViewId="0">
      <selection activeCell="O7" sqref="O7"/>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588</v>
      </c>
    </row>
    <row r="3" spans="1:22" ht="17.25" x14ac:dyDescent="0.2">
      <c r="A3" s="7" t="s">
        <v>860</v>
      </c>
      <c r="B3" s="8"/>
      <c r="C3" s="8"/>
      <c r="D3" s="8"/>
      <c r="E3" s="8"/>
      <c r="F3" s="8"/>
      <c r="G3" s="8"/>
      <c r="H3" s="8"/>
      <c r="I3" s="8"/>
      <c r="J3" s="9"/>
      <c r="K3" s="10">
        <v>44550</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861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114</v>
      </c>
      <c r="C13" s="23" t="s">
        <v>518</v>
      </c>
      <c r="D13" s="24">
        <v>114</v>
      </c>
      <c r="E13" s="14" t="s">
        <v>519</v>
      </c>
      <c r="F13" s="14"/>
      <c r="G13" s="14"/>
      <c r="H13" s="14"/>
      <c r="I13" s="25" t="s">
        <v>6</v>
      </c>
      <c r="J13" s="14"/>
      <c r="K13" s="26">
        <v>1</v>
      </c>
      <c r="L13" s="27" t="s">
        <v>7</v>
      </c>
      <c r="M13" s="71">
        <v>2</v>
      </c>
      <c r="N13" s="71" t="s">
        <v>799</v>
      </c>
      <c r="O13" s="414">
        <f>B13</f>
        <v>114</v>
      </c>
    </row>
    <row r="14" spans="1:22" x14ac:dyDescent="0.15">
      <c r="A14" s="12"/>
      <c r="B14" s="25">
        <v>1</v>
      </c>
      <c r="C14" s="25" t="s">
        <v>520</v>
      </c>
      <c r="D14" s="13"/>
      <c r="E14" s="13"/>
      <c r="F14" s="13"/>
      <c r="G14" s="13"/>
      <c r="H14" s="13"/>
      <c r="I14" s="25" t="s">
        <v>6</v>
      </c>
      <c r="J14" s="14"/>
      <c r="K14" s="28">
        <v>0.79600000000000004</v>
      </c>
      <c r="L14" s="29" t="s">
        <v>7</v>
      </c>
      <c r="M14" s="71">
        <v>3</v>
      </c>
      <c r="N14" s="71" t="s">
        <v>800</v>
      </c>
      <c r="O14" s="415">
        <f>VALUE($K14)/$B14*$B$13</f>
        <v>90.744</v>
      </c>
      <c r="Q14" s="48"/>
      <c r="R14" s="47"/>
      <c r="S14" s="47"/>
      <c r="T14" s="47"/>
      <c r="V14" s="47">
        <f>VALUE($K14)/$B14*$B$13</f>
        <v>90.744</v>
      </c>
    </row>
    <row r="15" spans="1:22" x14ac:dyDescent="0.15">
      <c r="A15" s="12"/>
      <c r="B15" s="25">
        <v>1</v>
      </c>
      <c r="C15" s="25" t="s">
        <v>521</v>
      </c>
      <c r="D15" s="13"/>
      <c r="E15" s="13"/>
      <c r="F15" s="13"/>
      <c r="G15" s="13"/>
      <c r="H15" s="13"/>
      <c r="I15" s="25" t="s">
        <v>8</v>
      </c>
      <c r="J15" s="14"/>
      <c r="K15" s="28">
        <v>0.156</v>
      </c>
      <c r="L15" s="30" t="s">
        <v>8</v>
      </c>
      <c r="M15" s="71">
        <v>4</v>
      </c>
      <c r="N15" s="71" t="s">
        <v>801</v>
      </c>
      <c r="O15" s="415">
        <f t="shared" ref="O15:O74" si="0">VALUE($K15)/$B15*$B$13</f>
        <v>17.783999999999999</v>
      </c>
    </row>
    <row r="16" spans="1:22" x14ac:dyDescent="0.15">
      <c r="A16" s="12"/>
      <c r="B16" s="25">
        <v>1</v>
      </c>
      <c r="C16" s="25" t="s">
        <v>522</v>
      </c>
      <c r="D16" s="13"/>
      <c r="E16" s="13"/>
      <c r="F16" s="13"/>
      <c r="G16" s="13"/>
      <c r="H16" s="13"/>
      <c r="I16" s="25" t="s">
        <v>8</v>
      </c>
      <c r="J16" s="14"/>
      <c r="K16" s="28">
        <v>0.113</v>
      </c>
      <c r="L16" s="30" t="s">
        <v>8</v>
      </c>
      <c r="M16" s="71">
        <v>5</v>
      </c>
      <c r="N16" s="71" t="s">
        <v>802</v>
      </c>
      <c r="O16" s="415">
        <f t="shared" si="0"/>
        <v>12.882</v>
      </c>
    </row>
    <row r="17" spans="1:15" x14ac:dyDescent="0.15">
      <c r="A17" s="12"/>
      <c r="B17" s="25">
        <v>1</v>
      </c>
      <c r="C17" s="25" t="s">
        <v>523</v>
      </c>
      <c r="D17" s="13"/>
      <c r="E17" s="13"/>
      <c r="F17" s="13"/>
      <c r="G17" s="13"/>
      <c r="H17" s="13"/>
      <c r="I17" s="25" t="s">
        <v>8</v>
      </c>
      <c r="J17" s="14"/>
      <c r="K17" s="28">
        <v>1.08</v>
      </c>
      <c r="L17" s="30" t="s">
        <v>8</v>
      </c>
      <c r="M17" s="71">
        <v>6</v>
      </c>
      <c r="N17" s="71" t="s">
        <v>803</v>
      </c>
      <c r="O17" s="415">
        <f t="shared" si="0"/>
        <v>123.12</v>
      </c>
    </row>
    <row r="18" spans="1:15" ht="15.75" customHeight="1" x14ac:dyDescent="0.15">
      <c r="A18" s="12"/>
      <c r="B18" s="25">
        <v>1</v>
      </c>
      <c r="C18" s="25" t="s">
        <v>524</v>
      </c>
      <c r="D18" s="13"/>
      <c r="E18" s="13"/>
      <c r="F18" s="13"/>
      <c r="G18" s="13"/>
      <c r="H18" s="13"/>
      <c r="I18" s="25" t="s">
        <v>8</v>
      </c>
      <c r="J18" s="14"/>
      <c r="K18" s="28">
        <v>1.35</v>
      </c>
      <c r="L18" s="30" t="s">
        <v>8</v>
      </c>
      <c r="M18" s="71">
        <v>7</v>
      </c>
      <c r="N18" s="71" t="s">
        <v>804</v>
      </c>
      <c r="O18" s="415">
        <f t="shared" si="0"/>
        <v>153.9</v>
      </c>
    </row>
    <row r="19" spans="1:15" ht="15.75" customHeight="1" x14ac:dyDescent="0.15">
      <c r="A19" s="12"/>
      <c r="B19" s="25">
        <v>1</v>
      </c>
      <c r="C19" s="25" t="s">
        <v>525</v>
      </c>
      <c r="D19" s="13"/>
      <c r="E19" s="13"/>
      <c r="F19" s="13"/>
      <c r="G19" s="13"/>
      <c r="H19" s="13"/>
      <c r="I19" s="25" t="s">
        <v>8</v>
      </c>
      <c r="J19" s="14"/>
      <c r="K19" s="28">
        <v>1.1399999999999999</v>
      </c>
      <c r="L19" s="30" t="s">
        <v>8</v>
      </c>
      <c r="M19" s="71">
        <v>8</v>
      </c>
      <c r="N19" s="71" t="s">
        <v>805</v>
      </c>
      <c r="O19" s="415">
        <f t="shared" si="0"/>
        <v>129.95999999999998</v>
      </c>
    </row>
    <row r="20" spans="1:15" x14ac:dyDescent="0.15">
      <c r="A20" s="12"/>
      <c r="B20" s="25">
        <v>1</v>
      </c>
      <c r="C20" s="25" t="s">
        <v>526</v>
      </c>
      <c r="D20" s="13"/>
      <c r="E20" s="13"/>
      <c r="F20" s="13"/>
      <c r="G20" s="13"/>
      <c r="H20" s="13"/>
      <c r="I20" s="25" t="s">
        <v>8</v>
      </c>
      <c r="J20" s="14"/>
      <c r="K20" s="28">
        <v>0.27200000000000002</v>
      </c>
      <c r="L20" s="30" t="s">
        <v>8</v>
      </c>
      <c r="M20" s="71">
        <v>9</v>
      </c>
      <c r="N20" s="71" t="s">
        <v>806</v>
      </c>
      <c r="O20" s="415">
        <f t="shared" si="0"/>
        <v>31.008000000000003</v>
      </c>
    </row>
    <row r="21" spans="1:15" x14ac:dyDescent="0.15">
      <c r="A21" s="12"/>
      <c r="B21" s="25">
        <v>1</v>
      </c>
      <c r="C21" s="25" t="s">
        <v>527</v>
      </c>
      <c r="D21" s="13"/>
      <c r="E21" s="13"/>
      <c r="F21" s="13"/>
      <c r="G21" s="13"/>
      <c r="H21" s="13"/>
      <c r="I21" s="25" t="s">
        <v>8</v>
      </c>
      <c r="J21" s="14"/>
      <c r="K21" s="28">
        <v>9.9699999999999997E-3</v>
      </c>
      <c r="L21" s="30" t="s">
        <v>8</v>
      </c>
      <c r="M21" s="71">
        <v>10</v>
      </c>
      <c r="N21" s="71" t="s">
        <v>807</v>
      </c>
      <c r="O21" s="415">
        <f t="shared" si="0"/>
        <v>1.1365799999999999</v>
      </c>
    </row>
    <row r="22" spans="1:15" x14ac:dyDescent="0.15">
      <c r="A22" s="12"/>
      <c r="B22" s="25">
        <v>1</v>
      </c>
      <c r="C22" s="25" t="s">
        <v>528</v>
      </c>
      <c r="D22" s="13"/>
      <c r="E22" s="13"/>
      <c r="F22" s="13"/>
      <c r="G22" s="13"/>
      <c r="H22" s="13"/>
      <c r="I22" s="25" t="s">
        <v>8</v>
      </c>
      <c r="J22" s="14"/>
      <c r="K22" s="28" t="s">
        <v>862</v>
      </c>
      <c r="L22" s="30" t="s">
        <v>8</v>
      </c>
      <c r="M22" s="71">
        <v>11</v>
      </c>
      <c r="N22" s="71" t="s">
        <v>808</v>
      </c>
      <c r="O22" s="415">
        <f t="shared" si="0"/>
        <v>36.480000000000004</v>
      </c>
    </row>
    <row r="23" spans="1:15" x14ac:dyDescent="0.15">
      <c r="A23" s="12"/>
      <c r="B23" s="25">
        <v>1</v>
      </c>
      <c r="C23" s="25" t="s">
        <v>529</v>
      </c>
      <c r="D23" s="13"/>
      <c r="E23" s="13"/>
      <c r="F23" s="31"/>
      <c r="G23" s="13"/>
      <c r="H23" s="13"/>
      <c r="I23" s="25" t="s">
        <v>8</v>
      </c>
      <c r="J23" s="14"/>
      <c r="K23" s="28">
        <v>2.3799999999999999E-5</v>
      </c>
      <c r="L23" s="30" t="s">
        <v>8</v>
      </c>
      <c r="M23" s="71">
        <v>12</v>
      </c>
      <c r="N23" s="71" t="s">
        <v>809</v>
      </c>
      <c r="O23" s="415">
        <f t="shared" si="0"/>
        <v>2.7131999999999998E-3</v>
      </c>
    </row>
    <row r="24" spans="1:15" x14ac:dyDescent="0.15">
      <c r="A24" s="12"/>
      <c r="B24" s="25">
        <v>1</v>
      </c>
      <c r="C24" s="25" t="s">
        <v>530</v>
      </c>
      <c r="D24" s="13"/>
      <c r="E24" s="13"/>
      <c r="F24" s="13"/>
      <c r="G24" s="13"/>
      <c r="H24" s="13"/>
      <c r="I24" s="25" t="s">
        <v>8</v>
      </c>
      <c r="J24" s="14"/>
      <c r="K24" s="28">
        <v>1.34E-2</v>
      </c>
      <c r="L24" s="30" t="s">
        <v>8</v>
      </c>
      <c r="M24" s="71">
        <v>13</v>
      </c>
      <c r="N24" s="71" t="s">
        <v>810</v>
      </c>
      <c r="O24" s="415">
        <f t="shared" si="0"/>
        <v>1.5276000000000001</v>
      </c>
    </row>
    <row r="25" spans="1:15" x14ac:dyDescent="0.15">
      <c r="A25" s="12"/>
      <c r="B25" s="25">
        <v>100</v>
      </c>
      <c r="C25" s="25" t="s">
        <v>531</v>
      </c>
      <c r="D25" s="13"/>
      <c r="E25" s="13"/>
      <c r="F25" s="13"/>
      <c r="G25" s="13"/>
      <c r="H25" s="13"/>
      <c r="I25" s="25" t="s">
        <v>8</v>
      </c>
      <c r="J25" s="14"/>
      <c r="K25" s="28" t="s">
        <v>942</v>
      </c>
      <c r="L25" s="30" t="s">
        <v>8</v>
      </c>
      <c r="M25" s="71">
        <v>14</v>
      </c>
      <c r="N25" s="71" t="s">
        <v>811</v>
      </c>
      <c r="O25" s="415">
        <f t="shared" si="0"/>
        <v>7.9913999999999992E-3</v>
      </c>
    </row>
    <row r="26" spans="1:15" x14ac:dyDescent="0.15">
      <c r="A26" s="12"/>
      <c r="B26" s="25">
        <v>1</v>
      </c>
      <c r="C26" s="25" t="s">
        <v>532</v>
      </c>
      <c r="D26" s="13"/>
      <c r="E26" s="13"/>
      <c r="F26" s="13"/>
      <c r="G26" s="13"/>
      <c r="H26" s="13"/>
      <c r="I26" s="25" t="s">
        <v>8</v>
      </c>
      <c r="J26" s="14"/>
      <c r="K26" s="28" t="s">
        <v>863</v>
      </c>
      <c r="L26" s="30" t="s">
        <v>8</v>
      </c>
      <c r="M26" s="71">
        <v>15</v>
      </c>
      <c r="N26" s="71" t="s">
        <v>369</v>
      </c>
      <c r="O26" s="415">
        <f t="shared" si="0"/>
        <v>83.22</v>
      </c>
    </row>
    <row r="27" spans="1:15" x14ac:dyDescent="0.15">
      <c r="A27" s="12"/>
      <c r="B27" s="25">
        <v>1</v>
      </c>
      <c r="C27" s="25" t="s">
        <v>533</v>
      </c>
      <c r="D27" s="13"/>
      <c r="E27" s="13"/>
      <c r="F27" s="13"/>
      <c r="G27" s="32"/>
      <c r="H27" s="13"/>
      <c r="I27" s="25" t="s">
        <v>8</v>
      </c>
      <c r="J27" s="14"/>
      <c r="K27" s="28" t="s">
        <v>534</v>
      </c>
      <c r="L27" s="30" t="s">
        <v>8</v>
      </c>
      <c r="M27" s="71">
        <v>16</v>
      </c>
      <c r="N27" s="71" t="s">
        <v>812</v>
      </c>
      <c r="O27" s="415">
        <f t="shared" si="0"/>
        <v>296.40000000000003</v>
      </c>
    </row>
    <row r="28" spans="1:15" x14ac:dyDescent="0.15">
      <c r="A28" s="12"/>
      <c r="B28" s="25">
        <v>1</v>
      </c>
      <c r="C28" s="25" t="s">
        <v>535</v>
      </c>
      <c r="D28" s="13"/>
      <c r="E28" s="13"/>
      <c r="F28" s="13"/>
      <c r="G28" s="13"/>
      <c r="H28" s="13"/>
      <c r="I28" s="25" t="s">
        <v>8</v>
      </c>
      <c r="J28" s="14"/>
      <c r="K28" s="28">
        <v>0.27300000000000002</v>
      </c>
      <c r="L28" s="30" t="s">
        <v>8</v>
      </c>
      <c r="M28" s="71">
        <v>17</v>
      </c>
      <c r="N28" s="71" t="s">
        <v>813</v>
      </c>
      <c r="O28" s="415">
        <f t="shared" si="0"/>
        <v>31.122000000000003</v>
      </c>
    </row>
    <row r="29" spans="1:15" x14ac:dyDescent="0.15">
      <c r="A29" s="12"/>
      <c r="B29" s="25">
        <v>100</v>
      </c>
      <c r="C29" s="25" t="s">
        <v>536</v>
      </c>
      <c r="D29" s="13"/>
      <c r="E29" s="13"/>
      <c r="F29" s="13"/>
      <c r="G29" s="13"/>
      <c r="H29" s="13"/>
      <c r="I29" s="25" t="s">
        <v>8</v>
      </c>
      <c r="J29" s="14"/>
      <c r="K29" s="28">
        <v>8.4400000000000003E-2</v>
      </c>
      <c r="L29" s="30" t="s">
        <v>8</v>
      </c>
      <c r="M29" s="71">
        <v>18</v>
      </c>
      <c r="N29" s="71" t="s">
        <v>814</v>
      </c>
      <c r="O29" s="415">
        <f t="shared" si="0"/>
        <v>9.6215999999999996E-2</v>
      </c>
    </row>
    <row r="30" spans="1:15" x14ac:dyDescent="0.15">
      <c r="A30" s="12"/>
      <c r="B30" s="25">
        <v>100</v>
      </c>
      <c r="C30" s="25" t="s">
        <v>537</v>
      </c>
      <c r="D30" s="13"/>
      <c r="E30" s="13"/>
      <c r="F30" s="13"/>
      <c r="G30" s="13"/>
      <c r="H30" s="13"/>
      <c r="I30" s="25" t="s">
        <v>8</v>
      </c>
      <c r="J30" s="14"/>
      <c r="K30" s="28">
        <v>2.46E-2</v>
      </c>
      <c r="L30" s="30" t="s">
        <v>8</v>
      </c>
      <c r="M30" s="71">
        <v>19</v>
      </c>
      <c r="N30" s="71" t="s">
        <v>815</v>
      </c>
      <c r="O30" s="415">
        <f t="shared" si="0"/>
        <v>2.8044000000000003E-2</v>
      </c>
    </row>
    <row r="31" spans="1:15" x14ac:dyDescent="0.15">
      <c r="A31" s="12"/>
      <c r="B31" s="25">
        <v>1</v>
      </c>
      <c r="C31" s="25" t="s">
        <v>538</v>
      </c>
      <c r="D31" s="13"/>
      <c r="E31" s="13"/>
      <c r="F31" s="13"/>
      <c r="G31" s="13"/>
      <c r="H31" s="13"/>
      <c r="I31" s="25" t="s">
        <v>8</v>
      </c>
      <c r="J31" s="14"/>
      <c r="K31" s="28">
        <v>3.31</v>
      </c>
      <c r="L31" s="30" t="s">
        <v>8</v>
      </c>
      <c r="M31" s="71">
        <v>20</v>
      </c>
      <c r="N31" s="71" t="s">
        <v>816</v>
      </c>
      <c r="O31" s="415">
        <f t="shared" si="0"/>
        <v>377.34000000000003</v>
      </c>
    </row>
    <row r="32" spans="1:15" x14ac:dyDescent="0.15">
      <c r="A32" s="12"/>
      <c r="B32" s="25">
        <v>1</v>
      </c>
      <c r="C32" s="25" t="s">
        <v>539</v>
      </c>
      <c r="D32" s="13"/>
      <c r="E32" s="13"/>
      <c r="F32" s="13"/>
      <c r="G32" s="13"/>
      <c r="H32" s="13"/>
      <c r="I32" s="25" t="s">
        <v>8</v>
      </c>
      <c r="J32" s="14"/>
      <c r="K32" s="28">
        <v>8.9300000000000004E-3</v>
      </c>
      <c r="L32" s="30" t="s">
        <v>8</v>
      </c>
      <c r="M32" s="71">
        <v>21</v>
      </c>
      <c r="N32" s="71" t="s">
        <v>817</v>
      </c>
      <c r="O32" s="415">
        <f t="shared" si="0"/>
        <v>1.0180200000000001</v>
      </c>
    </row>
    <row r="33" spans="1:15" x14ac:dyDescent="0.15">
      <c r="A33" s="12"/>
      <c r="B33" s="25">
        <v>100</v>
      </c>
      <c r="C33" s="25" t="s">
        <v>540</v>
      </c>
      <c r="D33" s="13"/>
      <c r="E33" s="13"/>
      <c r="F33" s="13"/>
      <c r="G33" s="13"/>
      <c r="H33" s="13"/>
      <c r="I33" s="25" t="s">
        <v>8</v>
      </c>
      <c r="J33" s="14"/>
      <c r="K33" s="28">
        <v>2.5600000000000001E-2</v>
      </c>
      <c r="L33" s="30" t="s">
        <v>8</v>
      </c>
      <c r="M33" s="71">
        <v>22</v>
      </c>
      <c r="N33" s="71" t="s">
        <v>818</v>
      </c>
      <c r="O33" s="415">
        <f t="shared" si="0"/>
        <v>2.9183999999999998E-2</v>
      </c>
    </row>
    <row r="34" spans="1:15" x14ac:dyDescent="0.15">
      <c r="A34" s="12"/>
      <c r="B34" s="25">
        <v>1</v>
      </c>
      <c r="C34" s="25" t="s">
        <v>541</v>
      </c>
      <c r="D34" s="13"/>
      <c r="E34" s="13"/>
      <c r="F34" s="13"/>
      <c r="G34" s="13"/>
      <c r="H34" s="13"/>
      <c r="I34" s="25" t="s">
        <v>8</v>
      </c>
      <c r="J34" s="14"/>
      <c r="K34" s="28">
        <v>0.26700000000000002</v>
      </c>
      <c r="L34" s="30" t="s">
        <v>8</v>
      </c>
      <c r="M34" s="71">
        <v>23</v>
      </c>
      <c r="N34" s="71" t="s">
        <v>819</v>
      </c>
      <c r="O34" s="415">
        <f t="shared" si="0"/>
        <v>30.438000000000002</v>
      </c>
    </row>
    <row r="35" spans="1:15" x14ac:dyDescent="0.15">
      <c r="A35" s="12"/>
      <c r="B35" s="25">
        <v>1</v>
      </c>
      <c r="C35" s="25" t="s">
        <v>542</v>
      </c>
      <c r="D35" s="13"/>
      <c r="E35" s="13"/>
      <c r="F35" s="13"/>
      <c r="G35" s="13"/>
      <c r="H35" s="13"/>
      <c r="I35" s="25" t="s">
        <v>8</v>
      </c>
      <c r="J35" s="14"/>
      <c r="K35" s="28">
        <v>0.73699999999999999</v>
      </c>
      <c r="L35" s="30" t="s">
        <v>8</v>
      </c>
      <c r="M35" s="71">
        <v>24</v>
      </c>
      <c r="N35" s="71" t="s">
        <v>820</v>
      </c>
      <c r="O35" s="415">
        <f t="shared" si="0"/>
        <v>84.018000000000001</v>
      </c>
    </row>
    <row r="36" spans="1:15" x14ac:dyDescent="0.15">
      <c r="A36" s="12"/>
      <c r="B36" s="25">
        <v>100</v>
      </c>
      <c r="C36" s="25" t="s">
        <v>543</v>
      </c>
      <c r="D36" s="13"/>
      <c r="E36" s="13"/>
      <c r="F36" s="13"/>
      <c r="G36" s="13"/>
      <c r="H36" s="13"/>
      <c r="I36" s="25" t="s">
        <v>8</v>
      </c>
      <c r="J36" s="14"/>
      <c r="K36" s="28" t="s">
        <v>864</v>
      </c>
      <c r="L36" s="30" t="s">
        <v>8</v>
      </c>
      <c r="M36" s="71">
        <v>25</v>
      </c>
      <c r="N36" s="71" t="s">
        <v>821</v>
      </c>
      <c r="O36" s="415">
        <f t="shared" si="0"/>
        <v>4.1040000000000001</v>
      </c>
    </row>
    <row r="37" spans="1:15" x14ac:dyDescent="0.15">
      <c r="A37" s="12"/>
      <c r="B37" s="25">
        <v>100</v>
      </c>
      <c r="C37" s="25" t="s">
        <v>544</v>
      </c>
      <c r="D37" s="13"/>
      <c r="E37" s="13"/>
      <c r="F37" s="13"/>
      <c r="G37" s="13"/>
      <c r="H37" s="13"/>
      <c r="I37" s="25" t="s">
        <v>8</v>
      </c>
      <c r="J37" s="14"/>
      <c r="K37" s="28">
        <v>0.495</v>
      </c>
      <c r="L37" s="30" t="s">
        <v>8</v>
      </c>
      <c r="M37" s="71">
        <v>26</v>
      </c>
      <c r="N37" s="71" t="s">
        <v>822</v>
      </c>
      <c r="O37" s="415">
        <f t="shared" si="0"/>
        <v>0.56429999999999991</v>
      </c>
    </row>
    <row r="38" spans="1:15" x14ac:dyDescent="0.15">
      <c r="A38" s="12"/>
      <c r="B38" s="25">
        <v>1</v>
      </c>
      <c r="C38" s="25" t="s">
        <v>545</v>
      </c>
      <c r="D38" s="13"/>
      <c r="E38" s="13"/>
      <c r="F38" s="13"/>
      <c r="G38" s="13"/>
      <c r="H38" s="13"/>
      <c r="I38" s="25" t="s">
        <v>8</v>
      </c>
      <c r="J38" s="14"/>
      <c r="K38" s="28">
        <v>7.2499999999999995E-2</v>
      </c>
      <c r="L38" s="30" t="s">
        <v>8</v>
      </c>
      <c r="M38" s="71">
        <v>27</v>
      </c>
      <c r="N38" s="71" t="s">
        <v>823</v>
      </c>
      <c r="O38" s="415">
        <f t="shared" si="0"/>
        <v>8.2649999999999988</v>
      </c>
    </row>
    <row r="39" spans="1:15" x14ac:dyDescent="0.15">
      <c r="A39" s="12"/>
      <c r="B39" s="25">
        <v>100</v>
      </c>
      <c r="C39" s="25" t="s">
        <v>546</v>
      </c>
      <c r="D39" s="13"/>
      <c r="E39" s="13"/>
      <c r="F39" s="13"/>
      <c r="G39" s="13"/>
      <c r="H39" s="13"/>
      <c r="I39" s="25" t="s">
        <v>8</v>
      </c>
      <c r="J39" s="14"/>
      <c r="K39" s="28">
        <v>3.02</v>
      </c>
      <c r="L39" s="30" t="s">
        <v>8</v>
      </c>
      <c r="M39" s="71">
        <v>28</v>
      </c>
      <c r="N39" s="71" t="s">
        <v>824</v>
      </c>
      <c r="O39" s="415">
        <f t="shared" si="0"/>
        <v>3.4428000000000001</v>
      </c>
    </row>
    <row r="40" spans="1:15" x14ac:dyDescent="0.15">
      <c r="A40" s="12"/>
      <c r="B40" s="25">
        <v>100</v>
      </c>
      <c r="C40" s="25" t="s">
        <v>547</v>
      </c>
      <c r="D40" s="13"/>
      <c r="E40" s="13"/>
      <c r="F40" s="13"/>
      <c r="G40" s="13"/>
      <c r="H40" s="13"/>
      <c r="I40" s="25" t="s">
        <v>8</v>
      </c>
      <c r="J40" s="14"/>
      <c r="K40" s="28">
        <v>0.95799999999999996</v>
      </c>
      <c r="L40" s="30" t="s">
        <v>8</v>
      </c>
      <c r="M40" s="71">
        <v>29</v>
      </c>
      <c r="N40" s="71" t="s">
        <v>825</v>
      </c>
      <c r="O40" s="415">
        <f t="shared" si="0"/>
        <v>1.09212</v>
      </c>
    </row>
    <row r="41" spans="1:15" x14ac:dyDescent="0.15">
      <c r="A41" s="12"/>
      <c r="B41" s="25">
        <v>1</v>
      </c>
      <c r="C41" s="25" t="s">
        <v>548</v>
      </c>
      <c r="D41" s="13"/>
      <c r="E41" s="13"/>
      <c r="F41" s="13"/>
      <c r="G41" s="13"/>
      <c r="H41" s="13"/>
      <c r="I41" s="25" t="s">
        <v>8</v>
      </c>
      <c r="J41" s="14"/>
      <c r="K41" s="28">
        <v>4.4900000000000002E-2</v>
      </c>
      <c r="L41" s="30" t="s">
        <v>8</v>
      </c>
      <c r="M41" s="71">
        <v>30</v>
      </c>
      <c r="N41" s="71" t="s">
        <v>826</v>
      </c>
      <c r="O41" s="415">
        <f t="shared" si="0"/>
        <v>5.1186000000000007</v>
      </c>
    </row>
    <row r="42" spans="1:15" x14ac:dyDescent="0.15">
      <c r="A42" s="12"/>
      <c r="B42" s="25">
        <v>100</v>
      </c>
      <c r="C42" s="25" t="s">
        <v>549</v>
      </c>
      <c r="D42" s="13"/>
      <c r="E42" s="13"/>
      <c r="F42" s="13"/>
      <c r="G42" s="13"/>
      <c r="H42" s="13"/>
      <c r="I42" s="25" t="s">
        <v>8</v>
      </c>
      <c r="J42" s="14"/>
      <c r="K42" s="28">
        <v>0.123</v>
      </c>
      <c r="L42" s="30" t="s">
        <v>8</v>
      </c>
      <c r="M42" s="71">
        <v>31</v>
      </c>
      <c r="N42" s="71" t="s">
        <v>827</v>
      </c>
      <c r="O42" s="415">
        <f t="shared" si="0"/>
        <v>0.14021999999999998</v>
      </c>
    </row>
    <row r="43" spans="1:15" x14ac:dyDescent="0.15">
      <c r="A43" s="12"/>
      <c r="B43" s="25">
        <v>1</v>
      </c>
      <c r="C43" s="25" t="s">
        <v>550</v>
      </c>
      <c r="D43" s="13"/>
      <c r="E43" s="13"/>
      <c r="F43" s="13"/>
      <c r="G43" s="13"/>
      <c r="H43" s="13"/>
      <c r="I43" s="25" t="s">
        <v>8</v>
      </c>
      <c r="J43" s="14"/>
      <c r="K43" s="28">
        <v>0.153</v>
      </c>
      <c r="L43" s="30" t="s">
        <v>8</v>
      </c>
      <c r="M43" s="71">
        <v>32</v>
      </c>
      <c r="N43" s="71" t="s">
        <v>828</v>
      </c>
      <c r="O43" s="415">
        <f t="shared" si="0"/>
        <v>17.442</v>
      </c>
    </row>
    <row r="44" spans="1:15" x14ac:dyDescent="0.15">
      <c r="A44" s="12"/>
      <c r="B44" s="25">
        <v>1</v>
      </c>
      <c r="C44" s="25" t="s">
        <v>551</v>
      </c>
      <c r="D44" s="13"/>
      <c r="E44" s="13"/>
      <c r="F44" s="13"/>
      <c r="G44" s="13"/>
      <c r="H44" s="13"/>
      <c r="I44" s="25" t="s">
        <v>8</v>
      </c>
      <c r="J44" s="14"/>
      <c r="K44" s="28">
        <v>0.14799999999999999</v>
      </c>
      <c r="L44" s="30" t="s">
        <v>8</v>
      </c>
      <c r="M44" s="71">
        <v>33</v>
      </c>
      <c r="N44" s="71" t="s">
        <v>829</v>
      </c>
      <c r="O44" s="415">
        <f t="shared" si="0"/>
        <v>16.872</v>
      </c>
    </row>
    <row r="45" spans="1:15" x14ac:dyDescent="0.15">
      <c r="A45" s="12"/>
      <c r="B45" s="25">
        <v>1</v>
      </c>
      <c r="C45" s="25" t="s">
        <v>552</v>
      </c>
      <c r="D45" s="13"/>
      <c r="E45" s="13"/>
      <c r="F45" s="13"/>
      <c r="G45" s="13"/>
      <c r="H45" s="13"/>
      <c r="I45" s="25" t="s">
        <v>8</v>
      </c>
      <c r="J45" s="14"/>
      <c r="K45" s="28">
        <v>9.2600000000000002E-2</v>
      </c>
      <c r="L45" s="30" t="s">
        <v>8</v>
      </c>
      <c r="M45" s="71">
        <v>34</v>
      </c>
      <c r="N45" s="71" t="s">
        <v>830</v>
      </c>
      <c r="O45" s="415">
        <f t="shared" si="0"/>
        <v>10.5564</v>
      </c>
    </row>
    <row r="46" spans="1:15" x14ac:dyDescent="0.15">
      <c r="A46" s="12"/>
      <c r="B46" s="25">
        <v>1</v>
      </c>
      <c r="C46" s="25" t="s">
        <v>553</v>
      </c>
      <c r="D46" s="13"/>
      <c r="E46" s="13"/>
      <c r="F46" s="13"/>
      <c r="G46" s="13"/>
      <c r="H46" s="13"/>
      <c r="I46" s="25" t="s">
        <v>8</v>
      </c>
      <c r="J46" s="14"/>
      <c r="K46" s="28">
        <v>2.4199999999999998E-3</v>
      </c>
      <c r="L46" s="30" t="s">
        <v>8</v>
      </c>
      <c r="M46" s="71">
        <v>35</v>
      </c>
      <c r="N46" s="71" t="s">
        <v>831</v>
      </c>
      <c r="O46" s="415">
        <f t="shared" si="0"/>
        <v>0.27587999999999996</v>
      </c>
    </row>
    <row r="47" spans="1:15" x14ac:dyDescent="0.15">
      <c r="A47" s="12"/>
      <c r="B47" s="25">
        <v>1</v>
      </c>
      <c r="C47" s="25" t="s">
        <v>554</v>
      </c>
      <c r="D47" s="13"/>
      <c r="E47" s="13"/>
      <c r="F47" s="13"/>
      <c r="G47" s="13"/>
      <c r="H47" s="13"/>
      <c r="I47" s="25" t="s">
        <v>8</v>
      </c>
      <c r="J47" s="14"/>
      <c r="K47" s="28">
        <v>0.70099999999999996</v>
      </c>
      <c r="L47" s="30" t="s">
        <v>8</v>
      </c>
      <c r="M47" s="71">
        <v>36</v>
      </c>
      <c r="N47" s="71" t="s">
        <v>832</v>
      </c>
      <c r="O47" s="415">
        <f t="shared" si="0"/>
        <v>79.914000000000001</v>
      </c>
    </row>
    <row r="48" spans="1:15" x14ac:dyDescent="0.15">
      <c r="A48" s="12"/>
      <c r="B48" s="25">
        <v>1</v>
      </c>
      <c r="C48" s="25" t="s">
        <v>555</v>
      </c>
      <c r="D48" s="13"/>
      <c r="E48" s="13"/>
      <c r="F48" s="13"/>
      <c r="G48" s="13"/>
      <c r="H48" s="13"/>
      <c r="I48" s="25" t="s">
        <v>8</v>
      </c>
      <c r="J48" s="14"/>
      <c r="K48" s="28">
        <v>0.114</v>
      </c>
      <c r="L48" s="30" t="s">
        <v>8</v>
      </c>
      <c r="M48" s="71">
        <v>37</v>
      </c>
      <c r="N48" s="71" t="s">
        <v>833</v>
      </c>
      <c r="O48" s="415">
        <f t="shared" si="0"/>
        <v>12.996</v>
      </c>
    </row>
    <row r="49" spans="1:15" x14ac:dyDescent="0.15">
      <c r="A49" s="12"/>
      <c r="B49" s="25">
        <v>1</v>
      </c>
      <c r="C49" s="25" t="s">
        <v>556</v>
      </c>
      <c r="D49" s="13"/>
      <c r="E49" s="13"/>
      <c r="F49" s="13"/>
      <c r="G49" s="13"/>
      <c r="H49" s="13"/>
      <c r="I49" s="25" t="s">
        <v>8</v>
      </c>
      <c r="J49" s="14"/>
      <c r="K49" s="28">
        <v>5.7600000000000004E-3</v>
      </c>
      <c r="L49" s="30" t="s">
        <v>8</v>
      </c>
      <c r="M49" s="71">
        <v>38</v>
      </c>
      <c r="N49" s="71" t="s">
        <v>834</v>
      </c>
      <c r="O49" s="415">
        <f t="shared" si="0"/>
        <v>0.65664</v>
      </c>
    </row>
    <row r="50" spans="1:15" x14ac:dyDescent="0.15">
      <c r="A50" s="12"/>
      <c r="B50" s="25">
        <v>100</v>
      </c>
      <c r="C50" s="25" t="s">
        <v>557</v>
      </c>
      <c r="D50" s="13"/>
      <c r="E50" s="13"/>
      <c r="F50" s="13"/>
      <c r="G50" s="13"/>
      <c r="H50" s="13"/>
      <c r="I50" s="25" t="s">
        <v>8</v>
      </c>
      <c r="J50" s="14"/>
      <c r="K50" s="28">
        <v>0.89900000000000002</v>
      </c>
      <c r="L50" s="30" t="s">
        <v>8</v>
      </c>
      <c r="M50" s="71">
        <v>39</v>
      </c>
      <c r="N50" s="71" t="s">
        <v>835</v>
      </c>
      <c r="O50" s="415">
        <f t="shared" si="0"/>
        <v>1.0248599999999999</v>
      </c>
    </row>
    <row r="51" spans="1:15" x14ac:dyDescent="0.15">
      <c r="A51" s="12"/>
      <c r="B51" s="25">
        <v>1</v>
      </c>
      <c r="C51" s="25" t="s">
        <v>558</v>
      </c>
      <c r="D51" s="13"/>
      <c r="E51" s="13"/>
      <c r="F51" s="13"/>
      <c r="G51" s="13"/>
      <c r="H51" s="13"/>
      <c r="I51" s="25" t="s">
        <v>8</v>
      </c>
      <c r="J51" s="14"/>
      <c r="K51" s="28">
        <v>0.28399999999999997</v>
      </c>
      <c r="L51" s="30" t="s">
        <v>8</v>
      </c>
      <c r="M51" s="71">
        <v>40</v>
      </c>
      <c r="N51" s="71" t="s">
        <v>836</v>
      </c>
      <c r="O51" s="415">
        <f t="shared" si="0"/>
        <v>32.375999999999998</v>
      </c>
    </row>
    <row r="52" spans="1:15" x14ac:dyDescent="0.15">
      <c r="A52" s="12"/>
      <c r="B52" s="25">
        <v>1</v>
      </c>
      <c r="C52" s="25" t="s">
        <v>559</v>
      </c>
      <c r="D52" s="13"/>
      <c r="E52" s="13"/>
      <c r="F52" s="13"/>
      <c r="G52" s="13"/>
      <c r="H52" s="13"/>
      <c r="I52" s="25" t="s">
        <v>8</v>
      </c>
      <c r="J52" s="14"/>
      <c r="K52" s="28">
        <v>2.65</v>
      </c>
      <c r="L52" s="30" t="s">
        <v>8</v>
      </c>
      <c r="M52" s="71">
        <v>41</v>
      </c>
      <c r="N52" s="71" t="s">
        <v>837</v>
      </c>
      <c r="O52" s="415">
        <f t="shared" si="0"/>
        <v>302.09999999999997</v>
      </c>
    </row>
    <row r="53" spans="1:15" x14ac:dyDescent="0.15">
      <c r="A53" s="12"/>
      <c r="B53" s="25">
        <v>100</v>
      </c>
      <c r="C53" s="25" t="s">
        <v>560</v>
      </c>
      <c r="D53" s="13"/>
      <c r="E53" s="13"/>
      <c r="F53" s="13"/>
      <c r="G53" s="13"/>
      <c r="H53" s="13"/>
      <c r="I53" s="25" t="s">
        <v>8</v>
      </c>
      <c r="J53" s="14"/>
      <c r="K53" s="28">
        <v>0.313</v>
      </c>
      <c r="L53" s="30" t="s">
        <v>8</v>
      </c>
      <c r="M53" s="71">
        <v>42</v>
      </c>
      <c r="N53" s="71" t="s">
        <v>838</v>
      </c>
      <c r="O53" s="415">
        <f t="shared" si="0"/>
        <v>0.35681999999999997</v>
      </c>
    </row>
    <row r="54" spans="1:15" x14ac:dyDescent="0.15">
      <c r="A54" s="12"/>
      <c r="B54" s="25">
        <v>100</v>
      </c>
      <c r="C54" s="25" t="s">
        <v>561</v>
      </c>
      <c r="D54" s="13"/>
      <c r="E54" s="13"/>
      <c r="F54" s="13"/>
      <c r="G54" s="13"/>
      <c r="H54" s="13"/>
      <c r="I54" s="25" t="s">
        <v>8</v>
      </c>
      <c r="J54" s="14"/>
      <c r="K54" s="28">
        <v>1.17</v>
      </c>
      <c r="L54" s="30" t="s">
        <v>8</v>
      </c>
      <c r="M54" s="71">
        <v>43</v>
      </c>
      <c r="N54" s="71" t="s">
        <v>839</v>
      </c>
      <c r="O54" s="415">
        <f t="shared" si="0"/>
        <v>1.3337999999999999</v>
      </c>
    </row>
    <row r="55" spans="1:15" x14ac:dyDescent="0.15">
      <c r="A55" s="12"/>
      <c r="B55" s="25">
        <v>1</v>
      </c>
      <c r="C55" s="25" t="s">
        <v>562</v>
      </c>
      <c r="D55" s="13"/>
      <c r="E55" s="13"/>
      <c r="F55" s="13"/>
      <c r="G55" s="13"/>
      <c r="H55" s="13"/>
      <c r="I55" s="25" t="s">
        <v>8</v>
      </c>
      <c r="J55" s="14"/>
      <c r="K55" s="28">
        <v>0.47699999999999998</v>
      </c>
      <c r="L55" s="30" t="s">
        <v>8</v>
      </c>
      <c r="M55" s="71">
        <v>44</v>
      </c>
      <c r="N55" s="71" t="s">
        <v>840</v>
      </c>
      <c r="O55" s="415">
        <f t="shared" si="0"/>
        <v>54.378</v>
      </c>
    </row>
    <row r="56" spans="1:15" x14ac:dyDescent="0.15">
      <c r="A56" s="12"/>
      <c r="B56" s="25">
        <v>1</v>
      </c>
      <c r="C56" s="25" t="s">
        <v>563</v>
      </c>
      <c r="D56" s="13"/>
      <c r="E56" s="13"/>
      <c r="F56" s="13"/>
      <c r="G56" s="13"/>
      <c r="H56" s="13"/>
      <c r="I56" s="25" t="s">
        <v>8</v>
      </c>
      <c r="J56" s="13"/>
      <c r="K56" s="28">
        <v>1.9900000000000001E-2</v>
      </c>
      <c r="L56" s="30" t="s">
        <v>8</v>
      </c>
      <c r="M56" s="71">
        <v>45</v>
      </c>
      <c r="N56" s="71" t="s">
        <v>841</v>
      </c>
      <c r="O56" s="415">
        <f t="shared" si="0"/>
        <v>2.2686000000000002</v>
      </c>
    </row>
    <row r="57" spans="1:15" x14ac:dyDescent="0.15">
      <c r="A57" s="12"/>
      <c r="B57" s="25">
        <v>1</v>
      </c>
      <c r="C57" s="25" t="s">
        <v>564</v>
      </c>
      <c r="D57" s="13"/>
      <c r="E57" s="13"/>
      <c r="F57" s="13"/>
      <c r="G57" s="13"/>
      <c r="H57" s="13"/>
      <c r="I57" s="25" t="s">
        <v>8</v>
      </c>
      <c r="J57" s="14"/>
      <c r="K57" s="28" t="s">
        <v>865</v>
      </c>
      <c r="L57" s="30" t="s">
        <v>8</v>
      </c>
      <c r="M57" s="71">
        <v>46</v>
      </c>
      <c r="N57" s="71" t="s">
        <v>842</v>
      </c>
      <c r="O57" s="415">
        <f t="shared" si="0"/>
        <v>20.52</v>
      </c>
    </row>
    <row r="58" spans="1:15" x14ac:dyDescent="0.15">
      <c r="A58" s="12"/>
      <c r="B58" s="25">
        <v>1</v>
      </c>
      <c r="C58" s="25" t="s">
        <v>565</v>
      </c>
      <c r="D58" s="13"/>
      <c r="E58" s="13"/>
      <c r="F58" s="13"/>
      <c r="G58" s="13"/>
      <c r="H58" s="13"/>
      <c r="I58" s="25" t="s">
        <v>8</v>
      </c>
      <c r="J58" s="14"/>
      <c r="K58" s="28">
        <v>0.73699999999999999</v>
      </c>
      <c r="L58" s="30" t="s">
        <v>8</v>
      </c>
      <c r="M58" s="71">
        <v>47</v>
      </c>
      <c r="N58" s="71" t="s">
        <v>843</v>
      </c>
      <c r="O58" s="415">
        <f t="shared" si="0"/>
        <v>84.018000000000001</v>
      </c>
    </row>
    <row r="59" spans="1:15" x14ac:dyDescent="0.15">
      <c r="A59" s="12"/>
      <c r="B59" s="25">
        <v>100</v>
      </c>
      <c r="C59" s="25" t="s">
        <v>566</v>
      </c>
      <c r="D59" s="13"/>
      <c r="E59" s="13"/>
      <c r="F59" s="13"/>
      <c r="G59" s="13"/>
      <c r="H59" s="13"/>
      <c r="I59" s="25" t="s">
        <v>8</v>
      </c>
      <c r="J59" s="14"/>
      <c r="K59" s="28">
        <v>4.4099999999999999E-3</v>
      </c>
      <c r="L59" s="30" t="s">
        <v>8</v>
      </c>
      <c r="M59" s="71">
        <v>48</v>
      </c>
      <c r="N59" s="71" t="s">
        <v>844</v>
      </c>
      <c r="O59" s="415">
        <f t="shared" si="0"/>
        <v>5.0274000000000004E-3</v>
      </c>
    </row>
    <row r="60" spans="1:15" x14ac:dyDescent="0.15">
      <c r="A60" s="12"/>
      <c r="B60" s="25">
        <v>1</v>
      </c>
      <c r="C60" s="25" t="s">
        <v>567</v>
      </c>
      <c r="D60" s="13"/>
      <c r="E60" s="13"/>
      <c r="F60" s="13"/>
      <c r="G60" s="13"/>
      <c r="H60" s="13"/>
      <c r="I60" s="25" t="s">
        <v>8</v>
      </c>
      <c r="J60" s="14"/>
      <c r="K60" s="28">
        <v>0.22600000000000001</v>
      </c>
      <c r="L60" s="30" t="s">
        <v>8</v>
      </c>
      <c r="M60" s="71">
        <v>49</v>
      </c>
      <c r="N60" s="71" t="s">
        <v>845</v>
      </c>
      <c r="O60" s="415">
        <f t="shared" si="0"/>
        <v>25.763999999999999</v>
      </c>
    </row>
    <row r="61" spans="1:15" x14ac:dyDescent="0.15">
      <c r="A61" s="12"/>
      <c r="B61" s="25">
        <v>1</v>
      </c>
      <c r="C61" s="25" t="s">
        <v>568</v>
      </c>
      <c r="D61" s="13"/>
      <c r="E61" s="13"/>
      <c r="F61" s="13"/>
      <c r="G61" s="13"/>
      <c r="H61" s="13"/>
      <c r="I61" s="25" t="s">
        <v>8</v>
      </c>
      <c r="J61" s="14"/>
      <c r="K61" s="28">
        <v>0.249</v>
      </c>
      <c r="L61" s="30" t="s">
        <v>8</v>
      </c>
      <c r="M61" s="71">
        <v>50</v>
      </c>
      <c r="N61" s="71" t="s">
        <v>846</v>
      </c>
      <c r="O61" s="415">
        <f t="shared" si="0"/>
        <v>28.385999999999999</v>
      </c>
    </row>
    <row r="62" spans="1:15" x14ac:dyDescent="0.15">
      <c r="A62" s="12"/>
      <c r="B62" s="25">
        <v>1</v>
      </c>
      <c r="C62" s="25" t="s">
        <v>569</v>
      </c>
      <c r="D62" s="13"/>
      <c r="E62" s="13"/>
      <c r="F62" s="13"/>
      <c r="G62" s="13"/>
      <c r="H62" s="13"/>
      <c r="I62" s="25" t="s">
        <v>8</v>
      </c>
      <c r="J62" s="14"/>
      <c r="K62" s="28">
        <v>0.245</v>
      </c>
      <c r="L62" s="30" t="s">
        <v>8</v>
      </c>
      <c r="M62" s="71">
        <v>51</v>
      </c>
      <c r="N62" s="71" t="s">
        <v>847</v>
      </c>
      <c r="O62" s="415">
        <f t="shared" si="0"/>
        <v>27.93</v>
      </c>
    </row>
    <row r="63" spans="1:15" x14ac:dyDescent="0.15">
      <c r="A63" s="12"/>
      <c r="B63" s="25">
        <v>1</v>
      </c>
      <c r="C63" s="25" t="s">
        <v>570</v>
      </c>
      <c r="D63" s="13"/>
      <c r="E63" s="13"/>
      <c r="F63" s="13"/>
      <c r="G63" s="13"/>
      <c r="H63" s="13"/>
      <c r="I63" s="25" t="s">
        <v>8</v>
      </c>
      <c r="J63" s="14"/>
      <c r="K63" s="28">
        <v>0.128</v>
      </c>
      <c r="L63" s="30" t="s">
        <v>8</v>
      </c>
      <c r="M63" s="71">
        <v>52</v>
      </c>
      <c r="N63" s="71" t="s">
        <v>848</v>
      </c>
      <c r="O63" s="415">
        <f t="shared" si="0"/>
        <v>14.592000000000001</v>
      </c>
    </row>
    <row r="64" spans="1:15" x14ac:dyDescent="0.15">
      <c r="A64" s="12"/>
      <c r="B64" s="25">
        <v>1</v>
      </c>
      <c r="C64" s="25" t="s">
        <v>571</v>
      </c>
      <c r="D64" s="13"/>
      <c r="E64" s="13"/>
      <c r="F64" s="13"/>
      <c r="G64" s="13"/>
      <c r="H64" s="13"/>
      <c r="I64" s="25" t="s">
        <v>8</v>
      </c>
      <c r="J64" s="14"/>
      <c r="K64" s="28">
        <v>0.23899999999999999</v>
      </c>
      <c r="L64" s="30" t="s">
        <v>8</v>
      </c>
      <c r="M64" s="71">
        <v>53</v>
      </c>
      <c r="N64" s="71" t="s">
        <v>849</v>
      </c>
      <c r="O64" s="415">
        <f t="shared" si="0"/>
        <v>27.245999999999999</v>
      </c>
    </row>
    <row r="65" spans="1:15" x14ac:dyDescent="0.15">
      <c r="A65" s="12"/>
      <c r="B65" s="25">
        <v>1</v>
      </c>
      <c r="C65" s="25" t="s">
        <v>572</v>
      </c>
      <c r="D65" s="13"/>
      <c r="E65" s="13"/>
      <c r="F65" s="13"/>
      <c r="G65" s="13"/>
      <c r="H65" s="13"/>
      <c r="I65" s="25" t="s">
        <v>8</v>
      </c>
      <c r="J65" s="14"/>
      <c r="K65" s="28">
        <v>6.4299999999999996E-2</v>
      </c>
      <c r="L65" s="30" t="s">
        <v>8</v>
      </c>
      <c r="M65" s="71">
        <v>54</v>
      </c>
      <c r="N65" s="71" t="s">
        <v>850</v>
      </c>
      <c r="O65" s="415">
        <f t="shared" si="0"/>
        <v>7.3301999999999996</v>
      </c>
    </row>
    <row r="66" spans="1:15" x14ac:dyDescent="0.15">
      <c r="A66" s="12"/>
      <c r="B66" s="25">
        <v>1</v>
      </c>
      <c r="C66" s="25" t="s">
        <v>573</v>
      </c>
      <c r="D66" s="13"/>
      <c r="E66" s="13"/>
      <c r="F66" s="13"/>
      <c r="G66" s="13"/>
      <c r="H66" s="13"/>
      <c r="I66" s="25" t="s">
        <v>8</v>
      </c>
      <c r="J66" s="14"/>
      <c r="K66" s="28">
        <v>5.5800000000000001E-4</v>
      </c>
      <c r="L66" s="30" t="s">
        <v>8</v>
      </c>
      <c r="M66" s="71">
        <v>55</v>
      </c>
      <c r="N66" s="71" t="s">
        <v>851</v>
      </c>
      <c r="O66" s="415">
        <f t="shared" si="0"/>
        <v>6.3612000000000002E-2</v>
      </c>
    </row>
    <row r="67" spans="1:15" x14ac:dyDescent="0.15">
      <c r="A67" s="12"/>
      <c r="B67" s="25">
        <v>1</v>
      </c>
      <c r="C67" s="25" t="s">
        <v>574</v>
      </c>
      <c r="D67" s="13"/>
      <c r="E67" s="13"/>
      <c r="F67" s="13"/>
      <c r="G67" s="13"/>
      <c r="H67" s="13"/>
      <c r="I67" s="25" t="s">
        <v>8</v>
      </c>
      <c r="J67" s="14"/>
      <c r="K67" s="28">
        <v>4.7899999999999998E-2</v>
      </c>
      <c r="L67" s="30" t="s">
        <v>8</v>
      </c>
      <c r="M67" s="71">
        <v>56</v>
      </c>
      <c r="N67" s="71" t="s">
        <v>852</v>
      </c>
      <c r="O67" s="415">
        <f t="shared" si="0"/>
        <v>5.4605999999999995</v>
      </c>
    </row>
    <row r="68" spans="1:15" x14ac:dyDescent="0.15">
      <c r="A68" s="12"/>
      <c r="B68" s="25">
        <v>1</v>
      </c>
      <c r="C68" s="25" t="s">
        <v>575</v>
      </c>
      <c r="D68" s="13"/>
      <c r="E68" s="13"/>
      <c r="F68" s="13"/>
      <c r="G68" s="13"/>
      <c r="H68" s="13"/>
      <c r="I68" s="25" t="s">
        <v>8</v>
      </c>
      <c r="J68" s="14"/>
      <c r="K68" s="28">
        <v>2.3099999999999999E-2</v>
      </c>
      <c r="L68" s="30" t="s">
        <v>8</v>
      </c>
      <c r="M68" s="71">
        <v>57</v>
      </c>
      <c r="N68" s="71" t="s">
        <v>853</v>
      </c>
      <c r="O68" s="415">
        <f t="shared" si="0"/>
        <v>2.6334</v>
      </c>
    </row>
    <row r="69" spans="1:15" x14ac:dyDescent="0.15">
      <c r="A69" s="12"/>
      <c r="B69" s="25">
        <v>1</v>
      </c>
      <c r="C69" s="25" t="s">
        <v>576</v>
      </c>
      <c r="D69" s="13"/>
      <c r="E69" s="13"/>
      <c r="F69" s="13"/>
      <c r="G69" s="13"/>
      <c r="H69" s="13"/>
      <c r="I69" s="25" t="s">
        <v>8</v>
      </c>
      <c r="J69" s="14"/>
      <c r="K69" s="28">
        <v>0.109</v>
      </c>
      <c r="L69" s="30" t="s">
        <v>8</v>
      </c>
      <c r="M69" s="71">
        <v>58</v>
      </c>
      <c r="N69" s="71" t="s">
        <v>854</v>
      </c>
      <c r="O69" s="415">
        <f t="shared" si="0"/>
        <v>12.426</v>
      </c>
    </row>
    <row r="70" spans="1:15" x14ac:dyDescent="0.15">
      <c r="A70" s="12"/>
      <c r="B70" s="25">
        <v>1</v>
      </c>
      <c r="C70" s="25" t="s">
        <v>577</v>
      </c>
      <c r="D70" s="13"/>
      <c r="E70" s="13"/>
      <c r="F70" s="13"/>
      <c r="G70" s="13"/>
      <c r="H70" s="13"/>
      <c r="I70" s="25" t="s">
        <v>8</v>
      </c>
      <c r="J70" s="14"/>
      <c r="K70" s="28">
        <v>1.41</v>
      </c>
      <c r="L70" s="30" t="s">
        <v>8</v>
      </c>
      <c r="M70" s="71">
        <v>59</v>
      </c>
      <c r="N70" s="71" t="s">
        <v>855</v>
      </c>
      <c r="O70" s="415">
        <f t="shared" si="0"/>
        <v>160.73999999999998</v>
      </c>
    </row>
    <row r="71" spans="1:15" x14ac:dyDescent="0.15">
      <c r="A71" s="12"/>
      <c r="B71" s="25">
        <v>100</v>
      </c>
      <c r="C71" s="25" t="s">
        <v>578</v>
      </c>
      <c r="D71" s="13"/>
      <c r="E71" s="13"/>
      <c r="F71" s="13"/>
      <c r="G71" s="13"/>
      <c r="H71" s="13"/>
      <c r="I71" s="25" t="s">
        <v>8</v>
      </c>
      <c r="J71" s="14"/>
      <c r="K71" s="28">
        <v>9.4199999999999996E-3</v>
      </c>
      <c r="L71" s="30" t="s">
        <v>8</v>
      </c>
      <c r="M71" s="71">
        <v>60</v>
      </c>
      <c r="N71" s="71" t="s">
        <v>856</v>
      </c>
      <c r="O71" s="415">
        <f t="shared" si="0"/>
        <v>1.07388E-2</v>
      </c>
    </row>
    <row r="72" spans="1:15" x14ac:dyDescent="0.15">
      <c r="A72" s="12"/>
      <c r="B72" s="25">
        <v>1</v>
      </c>
      <c r="C72" s="25" t="s">
        <v>579</v>
      </c>
      <c r="D72" s="13"/>
      <c r="E72" s="13"/>
      <c r="F72" s="13"/>
      <c r="G72" s="13"/>
      <c r="H72" s="13"/>
      <c r="I72" s="25" t="s">
        <v>8</v>
      </c>
      <c r="J72" s="14"/>
      <c r="K72" s="28" t="s">
        <v>866</v>
      </c>
      <c r="L72" s="30" t="s">
        <v>8</v>
      </c>
      <c r="M72" s="71">
        <v>61</v>
      </c>
      <c r="N72" s="71" t="s">
        <v>857</v>
      </c>
      <c r="O72" s="415">
        <f t="shared" si="0"/>
        <v>26.220000000000002</v>
      </c>
    </row>
    <row r="73" spans="1:15" x14ac:dyDescent="0.15">
      <c r="A73" s="12"/>
      <c r="B73" s="25">
        <v>100</v>
      </c>
      <c r="C73" s="25" t="s">
        <v>580</v>
      </c>
      <c r="D73" s="13"/>
      <c r="E73" s="13"/>
      <c r="F73" s="19"/>
      <c r="G73" s="13"/>
      <c r="H73" s="14"/>
      <c r="I73" s="25" t="s">
        <v>8</v>
      </c>
      <c r="J73" s="13"/>
      <c r="K73" s="28">
        <v>9.8299999999999998E-2</v>
      </c>
      <c r="L73" s="30" t="s">
        <v>8</v>
      </c>
      <c r="M73" s="71">
        <v>62</v>
      </c>
      <c r="N73" s="71" t="s">
        <v>858</v>
      </c>
      <c r="O73" s="415">
        <f t="shared" si="0"/>
        <v>0.11206199999999999</v>
      </c>
    </row>
    <row r="74" spans="1:15" x14ac:dyDescent="0.15">
      <c r="A74" s="12"/>
      <c r="B74" s="25">
        <v>1</v>
      </c>
      <c r="C74" s="25" t="s">
        <v>581</v>
      </c>
      <c r="D74" s="13"/>
      <c r="E74" s="13"/>
      <c r="F74" s="13"/>
      <c r="G74" s="14"/>
      <c r="H74" s="13"/>
      <c r="I74" s="25" t="s">
        <v>8</v>
      </c>
      <c r="J74" s="13"/>
      <c r="K74" s="28">
        <v>1.37E-2</v>
      </c>
      <c r="L74" s="30" t="s">
        <v>8</v>
      </c>
      <c r="M74" s="71">
        <v>63</v>
      </c>
      <c r="N74" s="71" t="s">
        <v>859</v>
      </c>
      <c r="O74" s="415">
        <f t="shared" si="0"/>
        <v>1.5618000000000001</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867</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topLeftCell="A41" workbookViewId="0">
      <selection activeCell="O13" sqref="O13:O7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868</v>
      </c>
    </row>
    <row r="3" spans="1:22" ht="17.25" x14ac:dyDescent="0.2">
      <c r="A3" s="7" t="s">
        <v>870</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7" t="s">
        <v>47</v>
      </c>
      <c r="N11" s="71" t="s">
        <v>14</v>
      </c>
      <c r="O11" s="72" t="s">
        <v>15</v>
      </c>
    </row>
    <row r="12" spans="1:22" x14ac:dyDescent="0.15">
      <c r="A12" s="12"/>
      <c r="B12" s="14"/>
      <c r="C12" s="14"/>
      <c r="D12" s="14"/>
      <c r="E12" s="14"/>
      <c r="F12" s="14"/>
      <c r="G12" s="14"/>
      <c r="H12" s="14"/>
      <c r="I12" s="14"/>
      <c r="J12" s="14"/>
      <c r="K12" s="19"/>
      <c r="L12" s="22" t="s">
        <v>11</v>
      </c>
      <c r="M12" s="377">
        <v>1</v>
      </c>
      <c r="N12" s="72" t="s">
        <v>49</v>
      </c>
      <c r="O12" s="72">
        <v>1</v>
      </c>
    </row>
    <row r="13" spans="1:22" x14ac:dyDescent="0.15">
      <c r="A13" s="12"/>
      <c r="B13" s="14">
        <v>132.56</v>
      </c>
      <c r="C13" s="23" t="s">
        <v>518</v>
      </c>
      <c r="D13" s="24">
        <v>132.56</v>
      </c>
      <c r="E13" s="14" t="s">
        <v>519</v>
      </c>
      <c r="F13" s="14"/>
      <c r="G13" s="14"/>
      <c r="H13" s="14"/>
      <c r="I13" s="25" t="s">
        <v>6</v>
      </c>
      <c r="J13" s="14"/>
      <c r="K13" s="26">
        <v>1</v>
      </c>
      <c r="L13" s="27" t="s">
        <v>7</v>
      </c>
      <c r="M13" s="377">
        <v>2</v>
      </c>
      <c r="N13" s="71" t="str">
        <f>L13&amp;" (USD)"</f>
        <v>米ドル (USD)</v>
      </c>
      <c r="O13" s="72">
        <f>B13</f>
        <v>132.56</v>
      </c>
    </row>
    <row r="14" spans="1:22" x14ac:dyDescent="0.15">
      <c r="A14" s="12"/>
      <c r="B14" s="25">
        <v>1</v>
      </c>
      <c r="C14" s="25" t="s">
        <v>520</v>
      </c>
      <c r="D14" s="13"/>
      <c r="E14" s="13"/>
      <c r="F14" s="13"/>
      <c r="G14" s="13"/>
      <c r="H14" s="13"/>
      <c r="I14" s="25" t="s">
        <v>6</v>
      </c>
      <c r="J14" s="14"/>
      <c r="K14" s="28" t="s">
        <v>872</v>
      </c>
      <c r="L14" s="29" t="s">
        <v>7</v>
      </c>
      <c r="M14" s="377">
        <v>3</v>
      </c>
      <c r="N14" s="71" t="str">
        <f>SUBSTITUTE(C14,TEXT(B14,"g/標準")&amp;" ","")</f>
        <v>カナダ・ドル (CAD)</v>
      </c>
      <c r="O14" s="73">
        <f>VALUE($K14)/$B14*$B$13</f>
        <v>98.624639999999999</v>
      </c>
      <c r="Q14" s="48"/>
      <c r="R14" s="47"/>
      <c r="S14" s="47"/>
      <c r="T14" s="47"/>
      <c r="V14" s="47">
        <f>VALUE($K14)/$B14*$B$13</f>
        <v>98.624639999999999</v>
      </c>
    </row>
    <row r="15" spans="1:22" x14ac:dyDescent="0.15">
      <c r="A15" s="12"/>
      <c r="B15" s="25">
        <v>1</v>
      </c>
      <c r="C15" s="25" t="s">
        <v>521</v>
      </c>
      <c r="D15" s="13"/>
      <c r="E15" s="13"/>
      <c r="F15" s="13"/>
      <c r="G15" s="13"/>
      <c r="H15" s="13"/>
      <c r="I15" s="25" t="s">
        <v>8</v>
      </c>
      <c r="J15" s="14"/>
      <c r="K15" s="28" t="s">
        <v>873</v>
      </c>
      <c r="L15" s="30" t="s">
        <v>8</v>
      </c>
      <c r="M15" s="377">
        <v>4</v>
      </c>
      <c r="N15" s="71" t="str">
        <f t="shared" ref="N15:N74" si="0">SUBSTITUTE(C15,TEXT(B15,"g/標準")&amp;" ","")</f>
        <v>中国元 (CNY)</v>
      </c>
      <c r="O15" s="73">
        <f t="shared" ref="O15:O74" si="1">VALUE($K15)/$B15*$B$13</f>
        <v>18.558400000000002</v>
      </c>
    </row>
    <row r="16" spans="1:22" x14ac:dyDescent="0.15">
      <c r="A16" s="12"/>
      <c r="B16" s="25">
        <v>1</v>
      </c>
      <c r="C16" s="25" t="s">
        <v>522</v>
      </c>
      <c r="D16" s="13"/>
      <c r="E16" s="13"/>
      <c r="F16" s="13"/>
      <c r="G16" s="13"/>
      <c r="H16" s="13"/>
      <c r="I16" s="25" t="s">
        <v>8</v>
      </c>
      <c r="J16" s="14"/>
      <c r="K16" s="28" t="s">
        <v>874</v>
      </c>
      <c r="L16" s="30" t="s">
        <v>8</v>
      </c>
      <c r="M16" s="377">
        <v>5</v>
      </c>
      <c r="N16" s="71" t="str">
        <f t="shared" si="0"/>
        <v>スウェーデン・クローネ (SEK)</v>
      </c>
      <c r="O16" s="73">
        <f t="shared" si="1"/>
        <v>12.434127999999999</v>
      </c>
    </row>
    <row r="17" spans="1:15" x14ac:dyDescent="0.15">
      <c r="A17" s="12"/>
      <c r="B17" s="25">
        <v>1</v>
      </c>
      <c r="C17" s="25" t="s">
        <v>523</v>
      </c>
      <c r="D17" s="13"/>
      <c r="E17" s="13"/>
      <c r="F17" s="13"/>
      <c r="G17" s="13"/>
      <c r="H17" s="13"/>
      <c r="I17" s="25" t="s">
        <v>8</v>
      </c>
      <c r="J17" s="14"/>
      <c r="K17" s="28" t="s">
        <v>875</v>
      </c>
      <c r="L17" s="30" t="s">
        <v>8</v>
      </c>
      <c r="M17" s="377">
        <v>6</v>
      </c>
      <c r="N17" s="71" t="str">
        <f t="shared" si="0"/>
        <v>スイス・フラン (CHF)</v>
      </c>
      <c r="O17" s="73">
        <f t="shared" si="1"/>
        <v>137.86240000000001</v>
      </c>
    </row>
    <row r="18" spans="1:15" ht="15.75" customHeight="1" x14ac:dyDescent="0.15">
      <c r="A18" s="12"/>
      <c r="B18" s="25">
        <v>1</v>
      </c>
      <c r="C18" s="25" t="s">
        <v>524</v>
      </c>
      <c r="D18" s="13"/>
      <c r="E18" s="13"/>
      <c r="F18" s="13"/>
      <c r="G18" s="13"/>
      <c r="H18" s="13"/>
      <c r="I18" s="25" t="s">
        <v>8</v>
      </c>
      <c r="J18" s="14"/>
      <c r="K18" s="28" t="s">
        <v>876</v>
      </c>
      <c r="L18" s="30" t="s">
        <v>8</v>
      </c>
      <c r="M18" s="377">
        <v>7</v>
      </c>
      <c r="N18" s="71" t="str">
        <f t="shared" si="0"/>
        <v>スターリング・ポンド (GBP)</v>
      </c>
      <c r="O18" s="73">
        <f t="shared" si="1"/>
        <v>156.42079999999999</v>
      </c>
    </row>
    <row r="19" spans="1:15" ht="15.75" customHeight="1" x14ac:dyDescent="0.15">
      <c r="A19" s="12"/>
      <c r="B19" s="25">
        <v>1</v>
      </c>
      <c r="C19" s="25" t="s">
        <v>525</v>
      </c>
      <c r="D19" s="13"/>
      <c r="E19" s="13"/>
      <c r="F19" s="13"/>
      <c r="G19" s="13"/>
      <c r="H19" s="13"/>
      <c r="I19" s="25" t="s">
        <v>8</v>
      </c>
      <c r="J19" s="14"/>
      <c r="K19" s="28" t="s">
        <v>877</v>
      </c>
      <c r="L19" s="30" t="s">
        <v>8</v>
      </c>
      <c r="M19" s="377">
        <v>8</v>
      </c>
      <c r="N19" s="71" t="str">
        <f t="shared" si="0"/>
        <v>ユーロ (EUR)</v>
      </c>
      <c r="O19" s="73">
        <f t="shared" si="1"/>
        <v>135.21119999999999</v>
      </c>
    </row>
    <row r="20" spans="1:15" x14ac:dyDescent="0.15">
      <c r="A20" s="12"/>
      <c r="B20" s="25">
        <v>1</v>
      </c>
      <c r="C20" s="25" t="s">
        <v>526</v>
      </c>
      <c r="D20" s="13"/>
      <c r="E20" s="13"/>
      <c r="F20" s="13"/>
      <c r="G20" s="13"/>
      <c r="H20" s="13"/>
      <c r="I20" s="25" t="s">
        <v>8</v>
      </c>
      <c r="J20" s="14"/>
      <c r="K20" s="28" t="s">
        <v>878</v>
      </c>
      <c r="L20" s="30" t="s">
        <v>8</v>
      </c>
      <c r="M20" s="377">
        <v>9</v>
      </c>
      <c r="N20" s="71" t="str">
        <f t="shared" si="0"/>
        <v>アラブ首長国連邦ディルハム (AED)</v>
      </c>
      <c r="O20" s="73">
        <f t="shared" si="1"/>
        <v>36.056320000000007</v>
      </c>
    </row>
    <row r="21" spans="1:15" x14ac:dyDescent="0.15">
      <c r="A21" s="12"/>
      <c r="B21" s="25">
        <v>1</v>
      </c>
      <c r="C21" s="25" t="s">
        <v>527</v>
      </c>
      <c r="D21" s="13"/>
      <c r="E21" s="13"/>
      <c r="F21" s="13"/>
      <c r="G21" s="13"/>
      <c r="H21" s="13"/>
      <c r="I21" s="25" t="s">
        <v>8</v>
      </c>
      <c r="J21" s="14"/>
      <c r="K21" s="28" t="s">
        <v>879</v>
      </c>
      <c r="L21" s="30" t="s">
        <v>8</v>
      </c>
      <c r="M21" s="377">
        <v>10</v>
      </c>
      <c r="N21" s="71" t="str">
        <f t="shared" si="0"/>
        <v>アルゼンチン・ペソ (ARS)</v>
      </c>
      <c r="O21" s="73">
        <f t="shared" si="1"/>
        <v>0.81789520000000004</v>
      </c>
    </row>
    <row r="22" spans="1:15" x14ac:dyDescent="0.15">
      <c r="A22" s="12"/>
      <c r="B22" s="25">
        <v>1</v>
      </c>
      <c r="C22" s="25" t="s">
        <v>528</v>
      </c>
      <c r="D22" s="13"/>
      <c r="E22" s="13"/>
      <c r="F22" s="13"/>
      <c r="G22" s="13"/>
      <c r="H22" s="13"/>
      <c r="I22" s="25" t="s">
        <v>8</v>
      </c>
      <c r="J22" s="14"/>
      <c r="K22" s="28" t="s">
        <v>880</v>
      </c>
      <c r="L22" s="30" t="s">
        <v>8</v>
      </c>
      <c r="M22" s="377">
        <v>11</v>
      </c>
      <c r="N22" s="71" t="str">
        <f t="shared" si="0"/>
        <v>イスラエル・シェケル (ILS)</v>
      </c>
      <c r="O22" s="73">
        <f t="shared" si="1"/>
        <v>38.177279999999996</v>
      </c>
    </row>
    <row r="23" spans="1:15" x14ac:dyDescent="0.15">
      <c r="A23" s="12"/>
      <c r="B23" s="25">
        <v>1</v>
      </c>
      <c r="C23" s="25" t="s">
        <v>529</v>
      </c>
      <c r="D23" s="13"/>
      <c r="E23" s="13"/>
      <c r="F23" s="31"/>
      <c r="G23" s="13"/>
      <c r="H23" s="13"/>
      <c r="I23" s="25" t="s">
        <v>8</v>
      </c>
      <c r="J23" s="14"/>
      <c r="K23" s="28" t="s">
        <v>881</v>
      </c>
      <c r="L23" s="30" t="s">
        <v>8</v>
      </c>
      <c r="M23" s="377">
        <v>12</v>
      </c>
      <c r="N23" s="71" t="str">
        <f t="shared" si="0"/>
        <v xml:space="preserve">イラン・リアル (IRR) </v>
      </c>
      <c r="O23" s="73">
        <f t="shared" si="1"/>
        <v>3.154928E-3</v>
      </c>
    </row>
    <row r="24" spans="1:15" x14ac:dyDescent="0.15">
      <c r="A24" s="12"/>
      <c r="B24" s="25">
        <v>1</v>
      </c>
      <c r="C24" s="25" t="s">
        <v>530</v>
      </c>
      <c r="D24" s="13"/>
      <c r="E24" s="13"/>
      <c r="F24" s="13"/>
      <c r="G24" s="13"/>
      <c r="H24" s="13"/>
      <c r="I24" s="25" t="s">
        <v>8</v>
      </c>
      <c r="J24" s="14"/>
      <c r="K24" s="28" t="s">
        <v>882</v>
      </c>
      <c r="L24" s="30" t="s">
        <v>8</v>
      </c>
      <c r="M24" s="377">
        <v>13</v>
      </c>
      <c r="N24" s="71" t="str">
        <f t="shared" si="0"/>
        <v>インド・ルピー (INR)</v>
      </c>
      <c r="O24" s="73">
        <f t="shared" si="1"/>
        <v>1.6304880000000002</v>
      </c>
    </row>
    <row r="25" spans="1:15" x14ac:dyDescent="0.15">
      <c r="A25" s="12"/>
      <c r="B25" s="25">
        <v>100</v>
      </c>
      <c r="C25" s="25" t="s">
        <v>531</v>
      </c>
      <c r="D25" s="13"/>
      <c r="E25" s="13"/>
      <c r="F25" s="13"/>
      <c r="G25" s="13"/>
      <c r="H25" s="13"/>
      <c r="I25" s="25" t="s">
        <v>8</v>
      </c>
      <c r="J25" s="14"/>
      <c r="K25" s="28" t="s">
        <v>883</v>
      </c>
      <c r="L25" s="30" t="s">
        <v>8</v>
      </c>
      <c r="M25" s="377">
        <v>14</v>
      </c>
      <c r="N25" s="71" t="str">
        <f t="shared" si="0"/>
        <v>インドネシア・ルピア (IDR)</v>
      </c>
      <c r="O25" s="73">
        <f t="shared" si="1"/>
        <v>8.4705839999999998E-3</v>
      </c>
    </row>
    <row r="26" spans="1:15" x14ac:dyDescent="0.15">
      <c r="A26" s="12"/>
      <c r="B26" s="25">
        <v>1</v>
      </c>
      <c r="C26" s="25" t="s">
        <v>532</v>
      </c>
      <c r="D26" s="13"/>
      <c r="E26" s="13"/>
      <c r="F26" s="13"/>
      <c r="G26" s="13"/>
      <c r="H26" s="13"/>
      <c r="I26" s="25" t="s">
        <v>8</v>
      </c>
      <c r="J26" s="14"/>
      <c r="K26" s="28" t="s">
        <v>884</v>
      </c>
      <c r="L26" s="30" t="s">
        <v>8</v>
      </c>
      <c r="M26" s="377">
        <v>15</v>
      </c>
      <c r="N26" s="71" t="str">
        <f t="shared" si="0"/>
        <v>オーストラリア・ドル (AUD)</v>
      </c>
      <c r="O26" s="73">
        <f t="shared" si="1"/>
        <v>87.622160000000008</v>
      </c>
    </row>
    <row r="27" spans="1:15" x14ac:dyDescent="0.15">
      <c r="A27" s="12"/>
      <c r="B27" s="25">
        <v>1</v>
      </c>
      <c r="C27" s="25" t="s">
        <v>533</v>
      </c>
      <c r="D27" s="13"/>
      <c r="E27" s="13"/>
      <c r="F27" s="13"/>
      <c r="G27" s="32"/>
      <c r="H27" s="13"/>
      <c r="I27" s="25" t="s">
        <v>8</v>
      </c>
      <c r="J27" s="14"/>
      <c r="K27" s="28" t="s">
        <v>534</v>
      </c>
      <c r="L27" s="30" t="s">
        <v>8</v>
      </c>
      <c r="M27" s="377">
        <v>16</v>
      </c>
      <c r="N27" s="71" t="str">
        <f t="shared" si="0"/>
        <v>オマーン・リアル (OMR)</v>
      </c>
      <c r="O27" s="73">
        <f t="shared" si="1"/>
        <v>344.65600000000001</v>
      </c>
    </row>
    <row r="28" spans="1:15" x14ac:dyDescent="0.15">
      <c r="A28" s="12"/>
      <c r="B28" s="25">
        <v>1</v>
      </c>
      <c r="C28" s="25" t="s">
        <v>535</v>
      </c>
      <c r="D28" s="13"/>
      <c r="E28" s="13"/>
      <c r="F28" s="13"/>
      <c r="G28" s="13"/>
      <c r="H28" s="13"/>
      <c r="I28" s="25" t="s">
        <v>8</v>
      </c>
      <c r="J28" s="14"/>
      <c r="K28" s="28" t="s">
        <v>878</v>
      </c>
      <c r="L28" s="30" t="s">
        <v>8</v>
      </c>
      <c r="M28" s="377">
        <v>17</v>
      </c>
      <c r="N28" s="71" t="str">
        <f t="shared" si="0"/>
        <v>カタール・リアル (QAR)</v>
      </c>
      <c r="O28" s="73">
        <f t="shared" si="1"/>
        <v>36.056320000000007</v>
      </c>
    </row>
    <row r="29" spans="1:15" x14ac:dyDescent="0.15">
      <c r="A29" s="12"/>
      <c r="B29" s="25">
        <v>100</v>
      </c>
      <c r="C29" s="25" t="s">
        <v>536</v>
      </c>
      <c r="D29" s="13"/>
      <c r="E29" s="13"/>
      <c r="F29" s="13"/>
      <c r="G29" s="13"/>
      <c r="H29" s="13"/>
      <c r="I29" s="25" t="s">
        <v>8</v>
      </c>
      <c r="J29" s="14"/>
      <c r="K29" s="28" t="s">
        <v>885</v>
      </c>
      <c r="L29" s="30" t="s">
        <v>8</v>
      </c>
      <c r="M29" s="377">
        <v>18</v>
      </c>
      <c r="N29" s="71" t="str">
        <f t="shared" si="0"/>
        <v>韓国ウォン (KRW)</v>
      </c>
      <c r="O29" s="73">
        <f t="shared" si="1"/>
        <v>9.7829280000000005E-2</v>
      </c>
    </row>
    <row r="30" spans="1:15" x14ac:dyDescent="0.15">
      <c r="A30" s="12"/>
      <c r="B30" s="25">
        <v>100</v>
      </c>
      <c r="C30" s="25" t="s">
        <v>537</v>
      </c>
      <c r="D30" s="13"/>
      <c r="E30" s="13"/>
      <c r="F30" s="13"/>
      <c r="G30" s="13"/>
      <c r="H30" s="13"/>
      <c r="I30" s="25" t="s">
        <v>8</v>
      </c>
      <c r="J30" s="14"/>
      <c r="K30" s="28" t="s">
        <v>886</v>
      </c>
      <c r="L30" s="30" t="s">
        <v>8</v>
      </c>
      <c r="M30" s="377">
        <v>19</v>
      </c>
      <c r="N30" s="71" t="str">
        <f t="shared" si="0"/>
        <v>カンボジア・リエル (KHR)</v>
      </c>
      <c r="O30" s="73">
        <f t="shared" si="1"/>
        <v>3.207952E-2</v>
      </c>
    </row>
    <row r="31" spans="1:15" x14ac:dyDescent="0.15">
      <c r="A31" s="12"/>
      <c r="B31" s="25">
        <v>1</v>
      </c>
      <c r="C31" s="25" t="s">
        <v>538</v>
      </c>
      <c r="D31" s="13"/>
      <c r="E31" s="13"/>
      <c r="F31" s="13"/>
      <c r="G31" s="13"/>
      <c r="H31" s="13"/>
      <c r="I31" s="25" t="s">
        <v>8</v>
      </c>
      <c r="J31" s="14"/>
      <c r="K31" s="28" t="s">
        <v>887</v>
      </c>
      <c r="L31" s="30" t="s">
        <v>8</v>
      </c>
      <c r="M31" s="377">
        <v>20</v>
      </c>
      <c r="N31" s="71" t="str">
        <f t="shared" si="0"/>
        <v>クウェート・ディナール (KWD)</v>
      </c>
      <c r="O31" s="73">
        <f t="shared" si="1"/>
        <v>429.49440000000004</v>
      </c>
    </row>
    <row r="32" spans="1:15" x14ac:dyDescent="0.15">
      <c r="A32" s="12"/>
      <c r="B32" s="25">
        <v>1</v>
      </c>
      <c r="C32" s="25" t="s">
        <v>539</v>
      </c>
      <c r="D32" s="13"/>
      <c r="E32" s="13"/>
      <c r="F32" s="13"/>
      <c r="G32" s="13"/>
      <c r="H32" s="13"/>
      <c r="I32" s="25" t="s">
        <v>8</v>
      </c>
      <c r="J32" s="14"/>
      <c r="K32" s="28" t="s">
        <v>888</v>
      </c>
      <c r="L32" s="30" t="s">
        <v>8</v>
      </c>
      <c r="M32" s="377">
        <v>21</v>
      </c>
      <c r="N32" s="71" t="str">
        <f t="shared" si="0"/>
        <v>ケニア・シリング (KES)</v>
      </c>
      <c r="O32" s="73">
        <f t="shared" si="1"/>
        <v>1.0869920000000002</v>
      </c>
    </row>
    <row r="33" spans="1:15" x14ac:dyDescent="0.15">
      <c r="A33" s="12"/>
      <c r="B33" s="25">
        <v>100</v>
      </c>
      <c r="C33" s="25" t="s">
        <v>540</v>
      </c>
      <c r="D33" s="13"/>
      <c r="E33" s="13"/>
      <c r="F33" s="13"/>
      <c r="G33" s="13"/>
      <c r="H33" s="13"/>
      <c r="I33" s="25" t="s">
        <v>8</v>
      </c>
      <c r="J33" s="14"/>
      <c r="K33" s="28" t="s">
        <v>889</v>
      </c>
      <c r="L33" s="30" t="s">
        <v>8</v>
      </c>
      <c r="M33" s="377">
        <v>22</v>
      </c>
      <c r="N33" s="71" t="str">
        <f t="shared" si="0"/>
        <v>コロンビア・ペソ (COP)</v>
      </c>
      <c r="O33" s="73">
        <f t="shared" si="1"/>
        <v>2.6909679999999998E-2</v>
      </c>
    </row>
    <row r="34" spans="1:15" x14ac:dyDescent="0.15">
      <c r="A34" s="12"/>
      <c r="B34" s="25">
        <v>1</v>
      </c>
      <c r="C34" s="25" t="s">
        <v>541</v>
      </c>
      <c r="D34" s="13"/>
      <c r="E34" s="13"/>
      <c r="F34" s="13"/>
      <c r="G34" s="13"/>
      <c r="H34" s="13"/>
      <c r="I34" s="25" t="s">
        <v>8</v>
      </c>
      <c r="J34" s="14"/>
      <c r="K34" s="28" t="s">
        <v>890</v>
      </c>
      <c r="L34" s="30" t="s">
        <v>8</v>
      </c>
      <c r="M34" s="377">
        <v>23</v>
      </c>
      <c r="N34" s="71" t="str">
        <f t="shared" si="0"/>
        <v>サウジアラビア・リアル (SAR)</v>
      </c>
      <c r="O34" s="73">
        <f t="shared" si="1"/>
        <v>35.260960000000004</v>
      </c>
    </row>
    <row r="35" spans="1:15" x14ac:dyDescent="0.15">
      <c r="A35" s="12"/>
      <c r="B35" s="25">
        <v>1</v>
      </c>
      <c r="C35" s="25" t="s">
        <v>542</v>
      </c>
      <c r="D35" s="13"/>
      <c r="E35" s="13"/>
      <c r="F35" s="13"/>
      <c r="G35" s="13"/>
      <c r="H35" s="13"/>
      <c r="I35" s="25" t="s">
        <v>8</v>
      </c>
      <c r="J35" s="14"/>
      <c r="K35" s="28" t="s">
        <v>891</v>
      </c>
      <c r="L35" s="30" t="s">
        <v>8</v>
      </c>
      <c r="M35" s="377">
        <v>24</v>
      </c>
      <c r="N35" s="71" t="str">
        <f t="shared" si="0"/>
        <v>シンガポール・ドル(SGD)</v>
      </c>
      <c r="O35" s="73">
        <f t="shared" si="1"/>
        <v>95.708320000000001</v>
      </c>
    </row>
    <row r="36" spans="1:15" x14ac:dyDescent="0.15">
      <c r="A36" s="12"/>
      <c r="B36" s="25">
        <v>100</v>
      </c>
      <c r="C36" s="25" t="s">
        <v>543</v>
      </c>
      <c r="D36" s="13"/>
      <c r="E36" s="13"/>
      <c r="F36" s="13"/>
      <c r="G36" s="13"/>
      <c r="H36" s="13"/>
      <c r="I36" s="25" t="s">
        <v>8</v>
      </c>
      <c r="J36" s="14"/>
      <c r="K36" s="28" t="s">
        <v>892</v>
      </c>
      <c r="L36" s="30" t="s">
        <v>8</v>
      </c>
      <c r="M36" s="377">
        <v>25</v>
      </c>
      <c r="N36" s="71" t="str">
        <f t="shared" si="0"/>
        <v>新台湾ドル (TWD)</v>
      </c>
      <c r="O36" s="73">
        <f t="shared" si="1"/>
        <v>4.215408</v>
      </c>
    </row>
    <row r="37" spans="1:15" x14ac:dyDescent="0.15">
      <c r="A37" s="12"/>
      <c r="B37" s="25">
        <v>100</v>
      </c>
      <c r="C37" s="25" t="s">
        <v>544</v>
      </c>
      <c r="D37" s="13"/>
      <c r="E37" s="13"/>
      <c r="F37" s="13"/>
      <c r="G37" s="13"/>
      <c r="H37" s="13"/>
      <c r="I37" s="25" t="s">
        <v>8</v>
      </c>
      <c r="J37" s="14"/>
      <c r="K37" s="28" t="s">
        <v>878</v>
      </c>
      <c r="L37" s="30" t="s">
        <v>8</v>
      </c>
      <c r="M37" s="377">
        <v>26</v>
      </c>
      <c r="N37" s="71" t="str">
        <f t="shared" si="0"/>
        <v>スリランカ・ルピー (LKR)</v>
      </c>
      <c r="O37" s="73">
        <f t="shared" si="1"/>
        <v>0.36056320000000003</v>
      </c>
    </row>
    <row r="38" spans="1:15" x14ac:dyDescent="0.15">
      <c r="A38" s="12"/>
      <c r="B38" s="25">
        <v>1</v>
      </c>
      <c r="C38" s="25" t="s">
        <v>545</v>
      </c>
      <c r="D38" s="13"/>
      <c r="E38" s="13"/>
      <c r="F38" s="13"/>
      <c r="G38" s="13"/>
      <c r="H38" s="13"/>
      <c r="I38" s="25" t="s">
        <v>8</v>
      </c>
      <c r="J38" s="14"/>
      <c r="K38" s="28" t="s">
        <v>893</v>
      </c>
      <c r="L38" s="30" t="s">
        <v>8</v>
      </c>
      <c r="M38" s="377">
        <v>27</v>
      </c>
      <c r="N38" s="71" t="str">
        <f t="shared" si="0"/>
        <v>セーシェル・ルピー (SCR)</v>
      </c>
      <c r="O38" s="73">
        <f t="shared" si="1"/>
        <v>9.6371120000000001</v>
      </c>
    </row>
    <row r="39" spans="1:15" x14ac:dyDescent="0.15">
      <c r="A39" s="12"/>
      <c r="B39" s="25">
        <v>100</v>
      </c>
      <c r="C39" s="25" t="s">
        <v>546</v>
      </c>
      <c r="D39" s="13"/>
      <c r="E39" s="13"/>
      <c r="F39" s="13"/>
      <c r="G39" s="13"/>
      <c r="H39" s="13"/>
      <c r="I39" s="25" t="s">
        <v>8</v>
      </c>
      <c r="J39" s="14"/>
      <c r="K39" s="28" t="s">
        <v>894</v>
      </c>
      <c r="L39" s="30" t="s">
        <v>8</v>
      </c>
      <c r="M39" s="377">
        <v>28</v>
      </c>
      <c r="N39" s="71" t="str">
        <f t="shared" si="0"/>
        <v>タイ・バーツ (THB)</v>
      </c>
      <c r="O39" s="73">
        <f t="shared" si="1"/>
        <v>3.6454</v>
      </c>
    </row>
    <row r="40" spans="1:15" x14ac:dyDescent="0.15">
      <c r="A40" s="12"/>
      <c r="B40" s="25">
        <v>100</v>
      </c>
      <c r="C40" s="25" t="s">
        <v>547</v>
      </c>
      <c r="D40" s="13"/>
      <c r="E40" s="13"/>
      <c r="F40" s="13"/>
      <c r="G40" s="13"/>
      <c r="H40" s="13"/>
      <c r="I40" s="25" t="s">
        <v>8</v>
      </c>
      <c r="J40" s="14"/>
      <c r="K40" s="28" t="s">
        <v>895</v>
      </c>
      <c r="L40" s="30" t="s">
        <v>8</v>
      </c>
      <c r="M40" s="377">
        <v>29</v>
      </c>
      <c r="N40" s="71" t="str">
        <f t="shared" si="0"/>
        <v>タヒチ・パシフィックフラン (XPF)</v>
      </c>
      <c r="O40" s="73">
        <f t="shared" si="1"/>
        <v>1.1280856000000001</v>
      </c>
    </row>
    <row r="41" spans="1:15" x14ac:dyDescent="0.15">
      <c r="A41" s="12"/>
      <c r="B41" s="25">
        <v>1</v>
      </c>
      <c r="C41" s="25" t="s">
        <v>548</v>
      </c>
      <c r="D41" s="13"/>
      <c r="E41" s="13"/>
      <c r="F41" s="13"/>
      <c r="G41" s="13"/>
      <c r="H41" s="13"/>
      <c r="I41" s="25" t="s">
        <v>8</v>
      </c>
      <c r="J41" s="14"/>
      <c r="K41" s="28" t="s">
        <v>896</v>
      </c>
      <c r="L41" s="30" t="s">
        <v>8</v>
      </c>
      <c r="M41" s="377">
        <v>30</v>
      </c>
      <c r="N41" s="71" t="str">
        <f t="shared" si="0"/>
        <v>チェコ・コルナ (CZK)</v>
      </c>
      <c r="O41" s="73">
        <f t="shared" si="1"/>
        <v>5.5542639999999999</v>
      </c>
    </row>
    <row r="42" spans="1:15" x14ac:dyDescent="0.15">
      <c r="A42" s="12"/>
      <c r="B42" s="25">
        <v>100</v>
      </c>
      <c r="C42" s="25" t="s">
        <v>549</v>
      </c>
      <c r="D42" s="13"/>
      <c r="E42" s="13"/>
      <c r="F42" s="13"/>
      <c r="G42" s="13"/>
      <c r="H42" s="13"/>
      <c r="I42" s="25" t="s">
        <v>8</v>
      </c>
      <c r="J42" s="14"/>
      <c r="K42" s="28" t="s">
        <v>897</v>
      </c>
      <c r="L42" s="30" t="s">
        <v>8</v>
      </c>
      <c r="M42" s="377">
        <v>31</v>
      </c>
      <c r="N42" s="71" t="str">
        <f t="shared" si="0"/>
        <v>チリ・ペソ (CLP)</v>
      </c>
      <c r="O42" s="73">
        <f t="shared" si="1"/>
        <v>0.14449040000000002</v>
      </c>
    </row>
    <row r="43" spans="1:15" x14ac:dyDescent="0.15">
      <c r="A43" s="12"/>
      <c r="B43" s="25">
        <v>1</v>
      </c>
      <c r="C43" s="25" t="s">
        <v>550</v>
      </c>
      <c r="D43" s="13"/>
      <c r="E43" s="13"/>
      <c r="F43" s="13"/>
      <c r="G43" s="13"/>
      <c r="H43" s="13"/>
      <c r="I43" s="25" t="s">
        <v>8</v>
      </c>
      <c r="J43" s="14"/>
      <c r="K43" s="28" t="s">
        <v>898</v>
      </c>
      <c r="L43" s="30" t="s">
        <v>8</v>
      </c>
      <c r="M43" s="377">
        <v>32</v>
      </c>
      <c r="N43" s="71" t="str">
        <f t="shared" si="0"/>
        <v>デンマーク・クローネ (DKK)</v>
      </c>
      <c r="O43" s="73">
        <f t="shared" si="1"/>
        <v>18.160720000000001</v>
      </c>
    </row>
    <row r="44" spans="1:15" x14ac:dyDescent="0.15">
      <c r="A44" s="12"/>
      <c r="B44" s="25">
        <v>1</v>
      </c>
      <c r="C44" s="25" t="s">
        <v>551</v>
      </c>
      <c r="D44" s="13"/>
      <c r="E44" s="13"/>
      <c r="F44" s="13"/>
      <c r="G44" s="13"/>
      <c r="H44" s="13"/>
      <c r="I44" s="25" t="s">
        <v>8</v>
      </c>
      <c r="J44" s="14"/>
      <c r="K44" s="28" t="s">
        <v>899</v>
      </c>
      <c r="L44" s="30" t="s">
        <v>8</v>
      </c>
      <c r="M44" s="377">
        <v>33</v>
      </c>
      <c r="N44" s="71" t="str">
        <f t="shared" si="0"/>
        <v>トリニダード・トバゴ・ドル (TTD)</v>
      </c>
      <c r="O44" s="73">
        <f t="shared" si="1"/>
        <v>19.618880000000001</v>
      </c>
    </row>
    <row r="45" spans="1:15" x14ac:dyDescent="0.15">
      <c r="A45" s="12"/>
      <c r="B45" s="25">
        <v>1</v>
      </c>
      <c r="C45" s="25" t="s">
        <v>552</v>
      </c>
      <c r="D45" s="13"/>
      <c r="E45" s="13"/>
      <c r="F45" s="13"/>
      <c r="G45" s="13"/>
      <c r="H45" s="13"/>
      <c r="I45" s="25" t="s">
        <v>8</v>
      </c>
      <c r="J45" s="14"/>
      <c r="K45" s="28" t="s">
        <v>900</v>
      </c>
      <c r="L45" s="30" t="s">
        <v>8</v>
      </c>
      <c r="M45" s="377">
        <v>34</v>
      </c>
      <c r="N45" s="71" t="str">
        <f t="shared" si="0"/>
        <v>トルコ・リラ (TRY)</v>
      </c>
      <c r="O45" s="73">
        <f t="shared" si="1"/>
        <v>7.1317279999999998</v>
      </c>
    </row>
    <row r="46" spans="1:15" x14ac:dyDescent="0.15">
      <c r="A46" s="12"/>
      <c r="B46" s="25">
        <v>1</v>
      </c>
      <c r="C46" s="25" t="s">
        <v>553</v>
      </c>
      <c r="D46" s="13"/>
      <c r="E46" s="13"/>
      <c r="F46" s="13"/>
      <c r="G46" s="13"/>
      <c r="H46" s="13"/>
      <c r="I46" s="25" t="s">
        <v>8</v>
      </c>
      <c r="J46" s="14"/>
      <c r="K46" s="28" t="s">
        <v>901</v>
      </c>
      <c r="L46" s="30" t="s">
        <v>8</v>
      </c>
      <c r="M46" s="377">
        <v>35</v>
      </c>
      <c r="N46" s="71" t="str">
        <f t="shared" si="0"/>
        <v>ナイジェリア・ナイラ (NGN)</v>
      </c>
      <c r="O46" s="73">
        <f t="shared" si="1"/>
        <v>0.29825999999999997</v>
      </c>
    </row>
    <row r="47" spans="1:15" x14ac:dyDescent="0.15">
      <c r="A47" s="12"/>
      <c r="B47" s="25">
        <v>1</v>
      </c>
      <c r="C47" s="25" t="s">
        <v>554</v>
      </c>
      <c r="D47" s="13"/>
      <c r="E47" s="13"/>
      <c r="F47" s="13"/>
      <c r="G47" s="13"/>
      <c r="H47" s="13"/>
      <c r="I47" s="25" t="s">
        <v>8</v>
      </c>
      <c r="J47" s="14"/>
      <c r="K47" s="28" t="s">
        <v>902</v>
      </c>
      <c r="L47" s="30" t="s">
        <v>8</v>
      </c>
      <c r="M47" s="377">
        <v>36</v>
      </c>
      <c r="N47" s="71" t="str">
        <f t="shared" si="0"/>
        <v>ニュージーランド・ドル (NZD)</v>
      </c>
      <c r="O47" s="73">
        <f t="shared" si="1"/>
        <v>80.463920000000002</v>
      </c>
    </row>
    <row r="48" spans="1:15" x14ac:dyDescent="0.15">
      <c r="A48" s="12"/>
      <c r="B48" s="25">
        <v>1</v>
      </c>
      <c r="C48" s="25" t="s">
        <v>555</v>
      </c>
      <c r="D48" s="13"/>
      <c r="E48" s="13"/>
      <c r="F48" s="13"/>
      <c r="G48" s="13"/>
      <c r="H48" s="13"/>
      <c r="I48" s="25" t="s">
        <v>8</v>
      </c>
      <c r="J48" s="14"/>
      <c r="K48" s="28" t="s">
        <v>903</v>
      </c>
      <c r="L48" s="30" t="s">
        <v>8</v>
      </c>
      <c r="M48" s="377">
        <v>37</v>
      </c>
      <c r="N48" s="71" t="str">
        <f t="shared" si="0"/>
        <v>ノルウェー・クローネ (NOK)</v>
      </c>
      <c r="O48" s="73">
        <f t="shared" si="1"/>
        <v>13.083672</v>
      </c>
    </row>
    <row r="49" spans="1:15" x14ac:dyDescent="0.15">
      <c r="A49" s="12"/>
      <c r="B49" s="25">
        <v>1</v>
      </c>
      <c r="C49" s="25" t="s">
        <v>556</v>
      </c>
      <c r="D49" s="13"/>
      <c r="E49" s="13"/>
      <c r="F49" s="13"/>
      <c r="G49" s="13"/>
      <c r="H49" s="13"/>
      <c r="I49" s="25" t="s">
        <v>8</v>
      </c>
      <c r="J49" s="14"/>
      <c r="K49" s="28" t="s">
        <v>904</v>
      </c>
      <c r="L49" s="30" t="s">
        <v>8</v>
      </c>
      <c r="M49" s="377">
        <v>38</v>
      </c>
      <c r="N49" s="71" t="str">
        <f t="shared" si="0"/>
        <v>パキスタン・ルピー (PKR)</v>
      </c>
      <c r="O49" s="73">
        <f t="shared" si="1"/>
        <v>0.59519440000000001</v>
      </c>
    </row>
    <row r="50" spans="1:15" x14ac:dyDescent="0.15">
      <c r="A50" s="12"/>
      <c r="B50" s="25">
        <v>100</v>
      </c>
      <c r="C50" s="25" t="s">
        <v>557</v>
      </c>
      <c r="D50" s="13"/>
      <c r="E50" s="13"/>
      <c r="F50" s="13"/>
      <c r="G50" s="13"/>
      <c r="H50" s="13"/>
      <c r="I50" s="25" t="s">
        <v>8</v>
      </c>
      <c r="J50" s="14"/>
      <c r="K50" s="28" t="s">
        <v>905</v>
      </c>
      <c r="L50" s="30" t="s">
        <v>8</v>
      </c>
      <c r="M50" s="377">
        <v>39</v>
      </c>
      <c r="N50" s="71" t="str">
        <f t="shared" si="0"/>
        <v>バヌアツ・バツ (VUV)</v>
      </c>
      <c r="O50" s="73">
        <f t="shared" si="1"/>
        <v>1.0949456</v>
      </c>
    </row>
    <row r="51" spans="1:15" x14ac:dyDescent="0.15">
      <c r="A51" s="12"/>
      <c r="B51" s="25">
        <v>1</v>
      </c>
      <c r="C51" s="25" t="s">
        <v>558</v>
      </c>
      <c r="D51" s="13"/>
      <c r="E51" s="13"/>
      <c r="F51" s="13"/>
      <c r="G51" s="13"/>
      <c r="H51" s="13"/>
      <c r="I51" s="25" t="s">
        <v>8</v>
      </c>
      <c r="J51" s="14"/>
      <c r="K51" s="28" t="s">
        <v>906</v>
      </c>
      <c r="L51" s="30" t="s">
        <v>8</v>
      </c>
      <c r="M51" s="377">
        <v>40</v>
      </c>
      <c r="N51" s="71" t="str">
        <f t="shared" si="0"/>
        <v>パプアニューギニア・キナ (PGK)</v>
      </c>
      <c r="O51" s="73">
        <f t="shared" si="1"/>
        <v>37.647039999999997</v>
      </c>
    </row>
    <row r="52" spans="1:15" x14ac:dyDescent="0.15">
      <c r="A52" s="12"/>
      <c r="B52" s="25">
        <v>1</v>
      </c>
      <c r="C52" s="25" t="s">
        <v>559</v>
      </c>
      <c r="D52" s="13"/>
      <c r="E52" s="13"/>
      <c r="F52" s="13"/>
      <c r="G52" s="13"/>
      <c r="H52" s="13"/>
      <c r="I52" s="25" t="s">
        <v>8</v>
      </c>
      <c r="J52" s="14"/>
      <c r="K52" s="28" t="s">
        <v>907</v>
      </c>
      <c r="L52" s="30" t="s">
        <v>8</v>
      </c>
      <c r="M52" s="377">
        <v>41</v>
      </c>
      <c r="N52" s="71" t="str">
        <f t="shared" si="0"/>
        <v>バーレーン・ディナール (BHD)</v>
      </c>
      <c r="O52" s="73">
        <f t="shared" si="1"/>
        <v>351.28399999999999</v>
      </c>
    </row>
    <row r="53" spans="1:15" x14ac:dyDescent="0.15">
      <c r="A53" s="12"/>
      <c r="B53" s="25">
        <v>100</v>
      </c>
      <c r="C53" s="25" t="s">
        <v>560</v>
      </c>
      <c r="D53" s="13"/>
      <c r="E53" s="13"/>
      <c r="F53" s="13"/>
      <c r="G53" s="13"/>
      <c r="H53" s="13"/>
      <c r="I53" s="25" t="s">
        <v>8</v>
      </c>
      <c r="J53" s="14"/>
      <c r="K53" s="28" t="s">
        <v>908</v>
      </c>
      <c r="L53" s="30" t="s">
        <v>8</v>
      </c>
      <c r="M53" s="377">
        <v>42</v>
      </c>
      <c r="N53" s="71" t="str">
        <f t="shared" si="0"/>
        <v>ハンガリー・フォリント (HUF)</v>
      </c>
      <c r="O53" s="73">
        <f t="shared" si="1"/>
        <v>0.33272560000000001</v>
      </c>
    </row>
    <row r="54" spans="1:15" x14ac:dyDescent="0.15">
      <c r="A54" s="12"/>
      <c r="B54" s="25">
        <v>100</v>
      </c>
      <c r="C54" s="25" t="s">
        <v>561</v>
      </c>
      <c r="D54" s="13"/>
      <c r="E54" s="13"/>
      <c r="F54" s="13"/>
      <c r="G54" s="13"/>
      <c r="H54" s="13"/>
      <c r="I54" s="25" t="s">
        <v>8</v>
      </c>
      <c r="J54" s="14"/>
      <c r="K54" s="28" t="s">
        <v>909</v>
      </c>
      <c r="L54" s="30" t="s">
        <v>8</v>
      </c>
      <c r="M54" s="377">
        <v>43</v>
      </c>
      <c r="N54" s="71" t="str">
        <f t="shared" si="0"/>
        <v>バングラデシュ・タカ (BDT)</v>
      </c>
      <c r="O54" s="73">
        <f t="shared" si="1"/>
        <v>1.2951112</v>
      </c>
    </row>
    <row r="55" spans="1:15" x14ac:dyDescent="0.15">
      <c r="A55" s="12"/>
      <c r="B55" s="25">
        <v>1</v>
      </c>
      <c r="C55" s="25" t="s">
        <v>562</v>
      </c>
      <c r="D55" s="13"/>
      <c r="E55" s="13"/>
      <c r="F55" s="13"/>
      <c r="G55" s="13"/>
      <c r="H55" s="13"/>
      <c r="I55" s="25" t="s">
        <v>8</v>
      </c>
      <c r="J55" s="14"/>
      <c r="K55" s="28" t="s">
        <v>910</v>
      </c>
      <c r="L55" s="30" t="s">
        <v>8</v>
      </c>
      <c r="M55" s="377">
        <v>44</v>
      </c>
      <c r="N55" s="71" t="str">
        <f t="shared" si="0"/>
        <v>フィジー・ドル (FJD)</v>
      </c>
      <c r="O55" s="73">
        <f t="shared" si="1"/>
        <v>58.724080000000001</v>
      </c>
    </row>
    <row r="56" spans="1:15" x14ac:dyDescent="0.15">
      <c r="A56" s="12"/>
      <c r="B56" s="25">
        <v>1</v>
      </c>
      <c r="C56" s="25" t="s">
        <v>563</v>
      </c>
      <c r="D56" s="13"/>
      <c r="E56" s="13"/>
      <c r="F56" s="13"/>
      <c r="G56" s="13"/>
      <c r="H56" s="13"/>
      <c r="I56" s="25" t="s">
        <v>8</v>
      </c>
      <c r="J56" s="13"/>
      <c r="K56" s="28" t="s">
        <v>911</v>
      </c>
      <c r="L56" s="30" t="s">
        <v>8</v>
      </c>
      <c r="M56" s="377">
        <v>45</v>
      </c>
      <c r="N56" s="71" t="str">
        <f t="shared" si="0"/>
        <v>フィリピン・ペソ (PHP)</v>
      </c>
      <c r="O56" s="73">
        <f t="shared" si="1"/>
        <v>2.3065439999999997</v>
      </c>
    </row>
    <row r="57" spans="1:15" x14ac:dyDescent="0.15">
      <c r="A57" s="12"/>
      <c r="B57" s="25">
        <v>1</v>
      </c>
      <c r="C57" s="25" t="s">
        <v>564</v>
      </c>
      <c r="D57" s="13"/>
      <c r="E57" s="13"/>
      <c r="F57" s="13"/>
      <c r="G57" s="13"/>
      <c r="H57" s="13"/>
      <c r="I57" s="25" t="s">
        <v>8</v>
      </c>
      <c r="J57" s="14"/>
      <c r="K57" s="28" t="s">
        <v>912</v>
      </c>
      <c r="L57" s="30" t="s">
        <v>8</v>
      </c>
      <c r="M57" s="377">
        <v>46</v>
      </c>
      <c r="N57" s="71" t="str">
        <f t="shared" si="0"/>
        <v>ブラジル・レアル (BRL)</v>
      </c>
      <c r="O57" s="73">
        <f t="shared" si="1"/>
        <v>25.053840000000001</v>
      </c>
    </row>
    <row r="58" spans="1:15" x14ac:dyDescent="0.15">
      <c r="A58" s="12"/>
      <c r="B58" s="25">
        <v>1</v>
      </c>
      <c r="C58" s="25" t="s">
        <v>565</v>
      </c>
      <c r="D58" s="13"/>
      <c r="E58" s="13"/>
      <c r="F58" s="13"/>
      <c r="G58" s="13"/>
      <c r="H58" s="13"/>
      <c r="I58" s="25" t="s">
        <v>8</v>
      </c>
      <c r="J58" s="14"/>
      <c r="K58" s="28" t="s">
        <v>891</v>
      </c>
      <c r="L58" s="30" t="s">
        <v>8</v>
      </c>
      <c r="M58" s="377">
        <v>47</v>
      </c>
      <c r="N58" s="71" t="str">
        <f t="shared" si="0"/>
        <v>ブルネイ・ドル (BND)</v>
      </c>
      <c r="O58" s="73">
        <f t="shared" si="1"/>
        <v>95.708320000000001</v>
      </c>
    </row>
    <row r="59" spans="1:15" x14ac:dyDescent="0.15">
      <c r="A59" s="12"/>
      <c r="B59" s="25">
        <v>100</v>
      </c>
      <c r="C59" s="25" t="s">
        <v>566</v>
      </c>
      <c r="D59" s="13"/>
      <c r="E59" s="13"/>
      <c r="F59" s="13"/>
      <c r="G59" s="13"/>
      <c r="H59" s="13"/>
      <c r="I59" s="25" t="s">
        <v>8</v>
      </c>
      <c r="J59" s="14"/>
      <c r="K59" s="28" t="s">
        <v>913</v>
      </c>
      <c r="L59" s="30" t="s">
        <v>8</v>
      </c>
      <c r="M59" s="377">
        <v>48</v>
      </c>
      <c r="N59" s="71" t="str">
        <f t="shared" si="0"/>
        <v>ベトナム・ドン (VND)</v>
      </c>
      <c r="O59" s="73">
        <f t="shared" si="1"/>
        <v>5.3421679999999996E-3</v>
      </c>
    </row>
    <row r="60" spans="1:15" x14ac:dyDescent="0.15">
      <c r="A60" s="12"/>
      <c r="B60" s="25">
        <v>1</v>
      </c>
      <c r="C60" s="25" t="s">
        <v>567</v>
      </c>
      <c r="D60" s="13"/>
      <c r="E60" s="13"/>
      <c r="F60" s="13"/>
      <c r="G60" s="13"/>
      <c r="H60" s="13"/>
      <c r="I60" s="25" t="s">
        <v>8</v>
      </c>
      <c r="J60" s="14"/>
      <c r="K60" s="28" t="s">
        <v>914</v>
      </c>
      <c r="L60" s="30" t="s">
        <v>8</v>
      </c>
      <c r="M60" s="377">
        <v>49</v>
      </c>
      <c r="N60" s="71" t="str">
        <f t="shared" si="0"/>
        <v>ベネズエラ・ボリーバル (VES)</v>
      </c>
      <c r="O60" s="73">
        <f t="shared" si="1"/>
        <v>14.31648</v>
      </c>
    </row>
    <row r="61" spans="1:15" x14ac:dyDescent="0.15">
      <c r="A61" s="12"/>
      <c r="B61" s="25">
        <v>1</v>
      </c>
      <c r="C61" s="25" t="s">
        <v>568</v>
      </c>
      <c r="D61" s="13"/>
      <c r="E61" s="13"/>
      <c r="F61" s="13"/>
      <c r="G61" s="13"/>
      <c r="H61" s="13"/>
      <c r="I61" s="25" t="s">
        <v>8</v>
      </c>
      <c r="J61" s="14"/>
      <c r="K61" s="28" t="s">
        <v>915</v>
      </c>
      <c r="L61" s="30" t="s">
        <v>8</v>
      </c>
      <c r="M61" s="377">
        <v>50</v>
      </c>
      <c r="N61" s="71" t="str">
        <f t="shared" si="0"/>
        <v>ペルー・ヌエボ・ソル (PEN)</v>
      </c>
      <c r="O61" s="73">
        <f t="shared" si="1"/>
        <v>34.200479999999999</v>
      </c>
    </row>
    <row r="62" spans="1:15" x14ac:dyDescent="0.15">
      <c r="A62" s="12"/>
      <c r="B62" s="25">
        <v>1</v>
      </c>
      <c r="C62" s="25" t="s">
        <v>569</v>
      </c>
      <c r="D62" s="13"/>
      <c r="E62" s="13"/>
      <c r="F62" s="13"/>
      <c r="G62" s="13"/>
      <c r="H62" s="13"/>
      <c r="I62" s="25" t="s">
        <v>8</v>
      </c>
      <c r="J62" s="14"/>
      <c r="K62" s="28" t="s">
        <v>916</v>
      </c>
      <c r="L62" s="30" t="s">
        <v>8</v>
      </c>
      <c r="M62" s="377">
        <v>51</v>
      </c>
      <c r="N62" s="71" t="str">
        <f t="shared" si="0"/>
        <v>ポーランド・ズロチ (PLN)</v>
      </c>
      <c r="O62" s="73">
        <f t="shared" si="1"/>
        <v>28.765519999999999</v>
      </c>
    </row>
    <row r="63" spans="1:15" x14ac:dyDescent="0.15">
      <c r="A63" s="12"/>
      <c r="B63" s="25">
        <v>1</v>
      </c>
      <c r="C63" s="25" t="s">
        <v>570</v>
      </c>
      <c r="D63" s="13"/>
      <c r="E63" s="13"/>
      <c r="F63" s="13"/>
      <c r="G63" s="13"/>
      <c r="H63" s="13"/>
      <c r="I63" s="25" t="s">
        <v>8</v>
      </c>
      <c r="J63" s="14"/>
      <c r="K63" s="28" t="s">
        <v>917</v>
      </c>
      <c r="L63" s="30" t="s">
        <v>8</v>
      </c>
      <c r="M63" s="377">
        <v>52</v>
      </c>
      <c r="N63" s="71" t="str">
        <f t="shared" si="0"/>
        <v>香港ドル (HKD)</v>
      </c>
      <c r="O63" s="73">
        <f t="shared" si="1"/>
        <v>16.967680000000001</v>
      </c>
    </row>
    <row r="64" spans="1:15" x14ac:dyDescent="0.15">
      <c r="A64" s="12"/>
      <c r="B64" s="25">
        <v>1</v>
      </c>
      <c r="C64" s="25" t="s">
        <v>571</v>
      </c>
      <c r="D64" s="13"/>
      <c r="E64" s="13"/>
      <c r="F64" s="13"/>
      <c r="G64" s="13"/>
      <c r="H64" s="13"/>
      <c r="I64" s="25" t="s">
        <v>8</v>
      </c>
      <c r="J64" s="14"/>
      <c r="K64" s="28" t="s">
        <v>916</v>
      </c>
      <c r="L64" s="30" t="s">
        <v>8</v>
      </c>
      <c r="M64" s="377">
        <v>53</v>
      </c>
      <c r="N64" s="71" t="str">
        <f t="shared" si="0"/>
        <v>マレーシア・リンギット (MYR)</v>
      </c>
      <c r="O64" s="73">
        <f t="shared" si="1"/>
        <v>28.765519999999999</v>
      </c>
    </row>
    <row r="65" spans="1:15" x14ac:dyDescent="0.15">
      <c r="A65" s="12"/>
      <c r="B65" s="25">
        <v>1</v>
      </c>
      <c r="C65" s="25" t="s">
        <v>572</v>
      </c>
      <c r="D65" s="13"/>
      <c r="E65" s="13"/>
      <c r="F65" s="13"/>
      <c r="G65" s="13"/>
      <c r="H65" s="13"/>
      <c r="I65" s="25" t="s">
        <v>8</v>
      </c>
      <c r="J65" s="14"/>
      <c r="K65" s="28" t="s">
        <v>918</v>
      </c>
      <c r="L65" s="30" t="s">
        <v>8</v>
      </c>
      <c r="M65" s="377">
        <v>54</v>
      </c>
      <c r="N65" s="71" t="str">
        <f t="shared" si="0"/>
        <v>南アフリカ・ラント (ZAR)</v>
      </c>
      <c r="O65" s="73">
        <f t="shared" si="1"/>
        <v>7.595688</v>
      </c>
    </row>
    <row r="66" spans="1:15" x14ac:dyDescent="0.15">
      <c r="A66" s="12"/>
      <c r="B66" s="25">
        <v>1</v>
      </c>
      <c r="C66" s="25" t="s">
        <v>573</v>
      </c>
      <c r="D66" s="13"/>
      <c r="E66" s="13"/>
      <c r="F66" s="13"/>
      <c r="G66" s="13"/>
      <c r="H66" s="13"/>
      <c r="I66" s="25" t="s">
        <v>8</v>
      </c>
      <c r="J66" s="14"/>
      <c r="K66" s="28" t="s">
        <v>919</v>
      </c>
      <c r="L66" s="30" t="s">
        <v>8</v>
      </c>
      <c r="M66" s="377">
        <v>55</v>
      </c>
      <c r="N66" s="71" t="str">
        <f t="shared" si="0"/>
        <v>ミャンマー・チャット (MMK)</v>
      </c>
      <c r="O66" s="73">
        <f t="shared" si="1"/>
        <v>6.3098559999999998E-2</v>
      </c>
    </row>
    <row r="67" spans="1:15" x14ac:dyDescent="0.15">
      <c r="A67" s="12"/>
      <c r="B67" s="25">
        <v>1</v>
      </c>
      <c r="C67" s="25" t="s">
        <v>574</v>
      </c>
      <c r="D67" s="13"/>
      <c r="E67" s="13"/>
      <c r="F67" s="13"/>
      <c r="G67" s="13"/>
      <c r="H67" s="13"/>
      <c r="I67" s="25" t="s">
        <v>8</v>
      </c>
      <c r="J67" s="14"/>
      <c r="K67" s="28" t="s">
        <v>920</v>
      </c>
      <c r="L67" s="30" t="s">
        <v>8</v>
      </c>
      <c r="M67" s="377">
        <v>56</v>
      </c>
      <c r="N67" s="71" t="str">
        <f t="shared" si="0"/>
        <v>メキシコ・ペソ (MXN)</v>
      </c>
      <c r="O67" s="73">
        <f t="shared" si="1"/>
        <v>6.8135840000000005</v>
      </c>
    </row>
    <row r="68" spans="1:15" x14ac:dyDescent="0.15">
      <c r="A68" s="12"/>
      <c r="B68" s="25">
        <v>1</v>
      </c>
      <c r="C68" s="25" t="s">
        <v>575</v>
      </c>
      <c r="D68" s="13"/>
      <c r="E68" s="13"/>
      <c r="F68" s="13"/>
      <c r="G68" s="13"/>
      <c r="H68" s="13"/>
      <c r="I68" s="25" t="s">
        <v>8</v>
      </c>
      <c r="J68" s="14"/>
      <c r="K68" s="28" t="s">
        <v>921</v>
      </c>
      <c r="L68" s="30" t="s">
        <v>8</v>
      </c>
      <c r="M68" s="377">
        <v>57</v>
      </c>
      <c r="N68" s="71" t="str">
        <f t="shared" si="0"/>
        <v>モーリシャス・ルピー (MUR)</v>
      </c>
      <c r="O68" s="73">
        <f t="shared" si="1"/>
        <v>2.9826000000000001</v>
      </c>
    </row>
    <row r="69" spans="1:15" x14ac:dyDescent="0.15">
      <c r="A69" s="12"/>
      <c r="B69" s="25">
        <v>1</v>
      </c>
      <c r="C69" s="25" t="s">
        <v>576</v>
      </c>
      <c r="D69" s="13"/>
      <c r="E69" s="13"/>
      <c r="F69" s="13"/>
      <c r="G69" s="13"/>
      <c r="H69" s="13"/>
      <c r="I69" s="25" t="s">
        <v>8</v>
      </c>
      <c r="J69" s="14"/>
      <c r="K69" s="28" t="s">
        <v>922</v>
      </c>
      <c r="L69" s="30" t="s">
        <v>8</v>
      </c>
      <c r="M69" s="377">
        <v>58</v>
      </c>
      <c r="N69" s="71" t="str">
        <f t="shared" si="0"/>
        <v>モロッコ・ディルハム (MAD)</v>
      </c>
      <c r="O69" s="73">
        <f t="shared" si="1"/>
        <v>12.288312000000001</v>
      </c>
    </row>
    <row r="70" spans="1:15" x14ac:dyDescent="0.15">
      <c r="A70" s="12"/>
      <c r="B70" s="25">
        <v>1</v>
      </c>
      <c r="C70" s="25" t="s">
        <v>577</v>
      </c>
      <c r="D70" s="13"/>
      <c r="E70" s="13"/>
      <c r="F70" s="13"/>
      <c r="G70" s="13"/>
      <c r="H70" s="13"/>
      <c r="I70" s="25" t="s">
        <v>8</v>
      </c>
      <c r="J70" s="14"/>
      <c r="K70" s="28" t="s">
        <v>923</v>
      </c>
      <c r="L70" s="30" t="s">
        <v>8</v>
      </c>
      <c r="M70" s="377">
        <v>59</v>
      </c>
      <c r="N70" s="71" t="str">
        <f t="shared" si="0"/>
        <v>ヨルダン・ディナール (JOD)</v>
      </c>
      <c r="O70" s="73">
        <f t="shared" si="1"/>
        <v>186.90959999999998</v>
      </c>
    </row>
    <row r="71" spans="1:15" x14ac:dyDescent="0.15">
      <c r="A71" s="12"/>
      <c r="B71" s="25">
        <v>100</v>
      </c>
      <c r="C71" s="25" t="s">
        <v>578</v>
      </c>
      <c r="D71" s="13"/>
      <c r="E71" s="13"/>
      <c r="F71" s="13"/>
      <c r="G71" s="13"/>
      <c r="H71" s="13"/>
      <c r="I71" s="25" t="s">
        <v>8</v>
      </c>
      <c r="J71" s="14"/>
      <c r="K71" s="28" t="s">
        <v>924</v>
      </c>
      <c r="L71" s="30" t="s">
        <v>8</v>
      </c>
      <c r="M71" s="377">
        <v>60</v>
      </c>
      <c r="N71" s="71" t="str">
        <f t="shared" si="0"/>
        <v>ラオス・キップ (LAK)</v>
      </c>
      <c r="O71" s="73">
        <f t="shared" si="1"/>
        <v>7.7282480000000001E-3</v>
      </c>
    </row>
    <row r="72" spans="1:15" x14ac:dyDescent="0.15">
      <c r="A72" s="12"/>
      <c r="B72" s="25">
        <v>1</v>
      </c>
      <c r="C72" s="25" t="s">
        <v>579</v>
      </c>
      <c r="D72" s="13"/>
      <c r="E72" s="13"/>
      <c r="F72" s="13"/>
      <c r="G72" s="13"/>
      <c r="H72" s="13"/>
      <c r="I72" s="25" t="s">
        <v>8</v>
      </c>
      <c r="J72" s="14"/>
      <c r="K72" s="28" t="s">
        <v>925</v>
      </c>
      <c r="L72" s="30" t="s">
        <v>8</v>
      </c>
      <c r="M72" s="377">
        <v>61</v>
      </c>
      <c r="N72" s="71" t="str">
        <f t="shared" si="0"/>
        <v>ルーマニア・レイ (RON)</v>
      </c>
      <c r="O72" s="73">
        <f t="shared" si="1"/>
        <v>27.572479999999999</v>
      </c>
    </row>
    <row r="73" spans="1:15" x14ac:dyDescent="0.15">
      <c r="A73" s="12"/>
      <c r="B73" s="25">
        <v>100</v>
      </c>
      <c r="C73" s="25" t="s">
        <v>580</v>
      </c>
      <c r="D73" s="13"/>
      <c r="E73" s="13"/>
      <c r="F73" s="19"/>
      <c r="G73" s="13"/>
      <c r="H73" s="14"/>
      <c r="I73" s="25" t="s">
        <v>8</v>
      </c>
      <c r="J73" s="13"/>
      <c r="K73" s="28" t="s">
        <v>926</v>
      </c>
      <c r="L73" s="30" t="s">
        <v>8</v>
      </c>
      <c r="M73" s="377">
        <v>62</v>
      </c>
      <c r="N73" s="71" t="str">
        <f t="shared" si="0"/>
        <v>ルワンダ・フラン (RWF)</v>
      </c>
      <c r="O73" s="73">
        <f t="shared" si="1"/>
        <v>0.12540176</v>
      </c>
    </row>
    <row r="74" spans="1:15" x14ac:dyDescent="0.15">
      <c r="A74" s="12"/>
      <c r="B74" s="25">
        <v>1</v>
      </c>
      <c r="C74" s="25" t="s">
        <v>581</v>
      </c>
      <c r="D74" s="13"/>
      <c r="E74" s="13"/>
      <c r="F74" s="13"/>
      <c r="G74" s="14"/>
      <c r="H74" s="13"/>
      <c r="I74" s="25" t="s">
        <v>8</v>
      </c>
      <c r="J74" s="13"/>
      <c r="K74" s="28" t="s">
        <v>927</v>
      </c>
      <c r="L74" s="30" t="s">
        <v>8</v>
      </c>
      <c r="M74" s="377">
        <v>63</v>
      </c>
      <c r="N74" s="71" t="str">
        <f t="shared" si="0"/>
        <v>ロシア・ルーブル (RUB)</v>
      </c>
      <c r="O74" s="73">
        <f t="shared" si="1"/>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928</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J62"/>
  <sheetViews>
    <sheetView workbookViewId="0">
      <selection activeCell="B5" sqref="B5"/>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5"/>
      <c r="B1" s="396" t="s">
        <v>284</v>
      </c>
      <c r="C1" s="396" t="s">
        <v>38</v>
      </c>
      <c r="D1" s="396" t="str">
        <f>IF(AND(海外居住者のための収入等申告書!D32="はい",海外居住者のための収入等申告書!D33="いいえ"),"生計１の配偶者","生計維持者２")</f>
        <v>生計１の配偶者</v>
      </c>
      <c r="E1" s="151"/>
      <c r="F1" s="151" t="s">
        <v>39</v>
      </c>
      <c r="G1" s="151"/>
    </row>
    <row r="2" spans="1:10" x14ac:dyDescent="0.15">
      <c r="A2" s="396" t="s">
        <v>414</v>
      </c>
      <c r="B2" s="389">
        <f>DATEDIF(海外居住者のための収入等申告書!D19,計算シート!$C$46,"y")</f>
        <v>123</v>
      </c>
      <c r="C2" s="389">
        <f>DATEDIF(海外居住者のための収入等申告書!D31,計算シート!$C$46,"y")</f>
        <v>72</v>
      </c>
      <c r="D2" s="389">
        <f>DATEDIF(海外居住者のための収入等申告書!H31,計算シート!$C$46,"y")</f>
        <v>72</v>
      </c>
      <c r="E2" s="151"/>
      <c r="F2" s="151"/>
      <c r="G2" s="151"/>
    </row>
    <row r="3" spans="1:10" x14ac:dyDescent="0.15">
      <c r="A3" s="396" t="s">
        <v>169</v>
      </c>
      <c r="B3" s="390">
        <f>海外居住者のための収入等申告書!D25*VLOOKUP(海外居住者のための収入等申告書!D24,IF($C$49=1,前年レート!$N$12:$O$74,IF($C$49=2,当年レート!$N$12:$O$74,"")),2,0)</f>
        <v>0</v>
      </c>
      <c r="C3" s="390">
        <f>海外居住者のための収入等申告書!D40*VLOOKUP(海外居住者のための収入等申告書!D39,IF($C$49=1,前年レート!$N$12:$O$74,IF($C$49=2,当年レート!$N$12:$O$74,"")),2,0)</f>
        <v>0</v>
      </c>
      <c r="D3" s="390">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6" t="s">
        <v>16</v>
      </c>
      <c r="B4" s="416">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416">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51,0)</f>
        <v>0</v>
      </c>
      <c r="D4" s="416">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51,0)</f>
        <v>0</v>
      </c>
      <c r="E4" s="151"/>
      <c r="F4" s="54" t="s">
        <v>43</v>
      </c>
      <c r="G4" s="54">
        <v>2</v>
      </c>
    </row>
    <row r="5" spans="1:10" x14ac:dyDescent="0.15">
      <c r="A5" s="396" t="s">
        <v>270</v>
      </c>
      <c r="B5" s="390">
        <v>0</v>
      </c>
      <c r="C5" s="390">
        <f>海外居住者のための収入等申告書!D42*VLOOKUP(海外居住者のための収入等申告書!D41,IF($C$49=1,前年レート!$N$12:$O$74,IF($C$49=2,当年レート!$N$12:$O$74,"")),2,0)</f>
        <v>0</v>
      </c>
      <c r="D5" s="390">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6" t="s">
        <v>269</v>
      </c>
      <c r="B6" s="390">
        <v>0</v>
      </c>
      <c r="C6" s="390">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90">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6" t="s">
        <v>271</v>
      </c>
      <c r="B7" s="390">
        <f>海外居住者のための収入等申告書!D27*VLOOKUP(海外居住者のための収入等申告書!D26,IF($C$49=1,前年レート!$N$12:$O$74,IF($C$49=2,当年レート!$N$12:$O$74,"")),2,0)</f>
        <v>0</v>
      </c>
      <c r="C7" s="390">
        <f>海外居住者のための収入等申告書!D44*VLOOKUP(海外居住者のための収入等申告書!D43,IF($C$49=1,前年レート!$N$12:$O$74,IF($C$49=2,当年レート!$N$12:$O$74,"")),2,0)</f>
        <v>0</v>
      </c>
      <c r="D7" s="390">
        <f>IF(VLOOKUP(海外居住者のための収入等申告書!$D$33,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6" t="s">
        <v>17</v>
      </c>
      <c r="B8" s="390">
        <f>IF(VLOOKUP(海外居住者のための収入等申告書!D23,計算シート!F3:G4,2,0)=1,SUM(B4,B6,B7),0)</f>
        <v>0</v>
      </c>
      <c r="C8" s="390">
        <f>MAX(SUM(C4,C6,C7,C52),0)</f>
        <v>0</v>
      </c>
      <c r="D8" s="390">
        <f>MAX(SUM(D4,D6,D7,D52),0)</f>
        <v>0</v>
      </c>
      <c r="E8" s="151"/>
      <c r="F8" s="54" t="str">
        <f>IF(C50=0,"寡婦（夫）でない","ひとり親でない")</f>
        <v>ひとり親でない</v>
      </c>
      <c r="G8" s="54">
        <v>6</v>
      </c>
    </row>
    <row r="9" spans="1:10" x14ac:dyDescent="0.15">
      <c r="A9" s="396" t="s">
        <v>313</v>
      </c>
      <c r="B9" s="389">
        <v>0</v>
      </c>
      <c r="C9" s="392">
        <f>IF(VLOOKUP(海外居住者のための収入等申告書!$D$32,$F$3:$G$13,2,0)=1,1,0)</f>
        <v>1</v>
      </c>
      <c r="D9" s="392">
        <f>C9</f>
        <v>1</v>
      </c>
      <c r="E9" s="151"/>
      <c r="F9" s="54" t="str">
        <f>IF(C50=0,"寡婦である","ひとり親である")</f>
        <v>ひとり親である</v>
      </c>
      <c r="G9" s="54">
        <v>7</v>
      </c>
      <c r="J9" t="s">
        <v>644</v>
      </c>
    </row>
    <row r="10" spans="1:10" x14ac:dyDescent="0.15">
      <c r="A10" s="396" t="s">
        <v>168</v>
      </c>
      <c r="B10" s="391" t="s">
        <v>285</v>
      </c>
      <c r="C10" s="391"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1"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640</v>
      </c>
    </row>
    <row r="11" spans="1:10" x14ac:dyDescent="0.15">
      <c r="A11" s="396" t="s">
        <v>265</v>
      </c>
      <c r="B11" s="390">
        <v>0</v>
      </c>
      <c r="C11" s="390">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90">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641</v>
      </c>
    </row>
    <row r="12" spans="1:10" x14ac:dyDescent="0.15">
      <c r="A12" s="396" t="s">
        <v>18</v>
      </c>
      <c r="B12" s="390">
        <v>0</v>
      </c>
      <c r="C12" s="390">
        <f>SUM(海外居住者のための収入等申告書!D48,海外居住者のための収入等申告書!D50,C36)*T13人的控除!$B$39</f>
        <v>330000</v>
      </c>
      <c r="D12" s="390">
        <f>SUM(海外居住者のための収入等申告書!H48,海外居住者のための収入等申告書!H50,D36)*T13人的控除!$B$39</f>
        <v>0</v>
      </c>
      <c r="E12" s="151"/>
      <c r="F12" s="54" t="s">
        <v>279</v>
      </c>
      <c r="G12" s="54">
        <v>10</v>
      </c>
      <c r="J12" t="s">
        <v>642</v>
      </c>
    </row>
    <row r="13" spans="1:10" x14ac:dyDescent="0.15">
      <c r="A13" s="396" t="s">
        <v>19</v>
      </c>
      <c r="B13" s="390">
        <v>0</v>
      </c>
      <c r="C13" s="390">
        <f>SUM(C37,海外居住者のための収入等申告書!D49)*T13人的控除!$B$40</f>
        <v>0</v>
      </c>
      <c r="D13" s="390">
        <f>SUM(海外居住者のための収入等申告書!H49,D37)*T13人的控除!$B$40</f>
        <v>0</v>
      </c>
      <c r="E13" s="151"/>
      <c r="F13" s="54" t="s">
        <v>291</v>
      </c>
      <c r="G13" s="54">
        <v>11</v>
      </c>
      <c r="J13" t="s">
        <v>639</v>
      </c>
    </row>
    <row r="14" spans="1:10" x14ac:dyDescent="0.15">
      <c r="A14" s="396" t="s">
        <v>20</v>
      </c>
      <c r="B14" s="390">
        <v>0</v>
      </c>
      <c r="C14" s="390">
        <f>海外居住者のための収入等申告書!D52*T13人的控除!$B$41</f>
        <v>0</v>
      </c>
      <c r="D14" s="390">
        <f>海外居住者のための収入等申告書!H52*T13人的控除!$B$41</f>
        <v>0</v>
      </c>
      <c r="E14" s="151"/>
      <c r="F14" s="151"/>
      <c r="G14" s="151"/>
      <c r="J14" t="s">
        <v>643</v>
      </c>
    </row>
    <row r="15" spans="1:10" x14ac:dyDescent="0.15">
      <c r="A15" s="396" t="s">
        <v>21</v>
      </c>
      <c r="B15" s="390">
        <v>0</v>
      </c>
      <c r="C15" s="390">
        <f>海外居住者のための収入等申告書!D51*T13人的控除!$B$42</f>
        <v>0</v>
      </c>
      <c r="D15" s="390">
        <f>海外居住者のための収入等申告書!H51*T13人的控除!$B$42</f>
        <v>0</v>
      </c>
      <c r="E15" s="151"/>
      <c r="F15" s="54" t="s">
        <v>405</v>
      </c>
      <c r="G15" s="54">
        <v>1</v>
      </c>
    </row>
    <row r="16" spans="1:10" x14ac:dyDescent="0.15">
      <c r="A16" s="396" t="s">
        <v>22</v>
      </c>
      <c r="B16" s="390">
        <f>IF(VLOOKUP(海外居住者のための収入等申告書!D21,計算シート!$F$3:$G$10,2,0)=4,1,0)*T13人的控除!$B$44</f>
        <v>0</v>
      </c>
      <c r="C16" s="390">
        <f>SUM(海外居住者のための収入等申告書!D53,C38,IF(VLOOKUP(海外居住者のための収入等申告書!$D$35,計算シート!$F$3:$G$10,2,0)=4,1,0),IF(AND(D10="e",VLOOKUP(海外居住者のための収入等申告書!$H$35,計算シート!$F$3:$G$10,2,0)=4),1,0))*T13人的控除!$B$44</f>
        <v>0</v>
      </c>
      <c r="D16" s="390">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403</v>
      </c>
      <c r="G16" s="54">
        <v>2</v>
      </c>
    </row>
    <row r="17" spans="1:7" x14ac:dyDescent="0.15">
      <c r="A17" s="396" t="s">
        <v>23</v>
      </c>
      <c r="B17" s="390">
        <f>IF(VLOOKUP(海外居住者のための収入等申告書!D21,計算シート!$F$3:$G$10,2,0)=5,1,0)*T13人的控除!$B$45</f>
        <v>0</v>
      </c>
      <c r="C17" s="390">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90">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404</v>
      </c>
      <c r="G17" s="54">
        <v>3</v>
      </c>
    </row>
    <row r="18" spans="1:7" x14ac:dyDescent="0.15">
      <c r="A18" s="396" t="s">
        <v>24</v>
      </c>
      <c r="B18" s="390">
        <v>0</v>
      </c>
      <c r="C18" s="390">
        <f>SUM(海外居住者のための収入等申告書!D55,C40,IF(AND($D$10="e",VLOOKUP(海外居住者のための収入等申告書!$D$34,計算シート!$F$3:$G$10,2,0)=1,VLOOKUP(海外居住者のための収入等申告書!$H$35,計算シート!$F$3:$G$10,2,0)=5),1,0))*T13人的控除!B46</f>
        <v>0</v>
      </c>
      <c r="D18" s="390">
        <f>SUM(海外居住者のための収入等申告書!H55,D40,IF(AND($C$10="e",VLOOKUP(海外居住者のための収入等申告書!$D$34,計算シート!$F$3:$G$10,2,0)=1,VLOOKUP(海外居住者のための収入等申告書!$D$35,計算シート!$F$3:$G$10,2,0)=5),1,0))*T13人的控除!B46</f>
        <v>0</v>
      </c>
      <c r="E18" s="151"/>
      <c r="F18" s="54" t="s">
        <v>409</v>
      </c>
      <c r="G18" s="54">
        <v>4</v>
      </c>
    </row>
    <row r="19" spans="1:7" x14ac:dyDescent="0.15">
      <c r="A19" s="397" t="s">
        <v>385</v>
      </c>
      <c r="B19" s="390">
        <f>IF(AND(B8&lt;=T13人的控除!B57+IF(C50=1,100000,0),SUM(計算シート!B6:B7)&lt;=100000),T13人的控除!B50,0)</f>
        <v>260000</v>
      </c>
      <c r="C19" s="390">
        <f>IFERROR(IF(海外居住者のための収入等申告書!D32="はい",0,IF(C20=0,IF(VLOOKUP(海外居住者のための収入等申告書!D36,計算シート!$F$3:$G$10,2,0)=7,T13人的控除!$B$47,0),0)),0)</f>
        <v>0</v>
      </c>
      <c r="D19" s="390">
        <v>0</v>
      </c>
      <c r="E19" s="151"/>
      <c r="F19" s="54"/>
      <c r="G19" s="54"/>
    </row>
    <row r="20" spans="1:7" x14ac:dyDescent="0.15">
      <c r="A20" s="396" t="s">
        <v>26</v>
      </c>
      <c r="B20" s="390">
        <v>0</v>
      </c>
      <c r="C20" s="390">
        <f>IFERROR(IF(海外居住者のための収入等申告書!D32="はい",0,IF(AND(VLOOKUP(海外居住者のための収入等申告書!D36,計算シート!$F$3:$G$10,2,0)=7,C8&lt;=T13人的控除!$B$54,SUM(海外居住者のための収入等申告書!D47:D49)&gt;0),T13人的控除!$B$48,0)),0)</f>
        <v>0</v>
      </c>
      <c r="D20" s="390">
        <v>0</v>
      </c>
      <c r="E20" s="151"/>
      <c r="F20" s="151"/>
      <c r="G20" s="151"/>
    </row>
    <row r="21" spans="1:7" x14ac:dyDescent="0.15">
      <c r="A21" s="396" t="s">
        <v>930</v>
      </c>
      <c r="B21" s="390">
        <v>0</v>
      </c>
      <c r="C21" s="390">
        <f>IFERROR(IF(海外居住者のための収入等申告書!D32="はい",0,IF(AND(VLOOKUP(海外居住者のための収入等申告書!D36,計算シート!$F$3:$G$10,2,0)=8,C8&lt;=T13人的控除!$B$54),T13人的控除!$B$49,0)),0)</f>
        <v>0</v>
      </c>
      <c r="D21" s="390">
        <v>0</v>
      </c>
      <c r="E21" s="151"/>
      <c r="F21" s="151"/>
      <c r="G21" s="151"/>
    </row>
    <row r="22" spans="1:7" x14ac:dyDescent="0.15">
      <c r="A22" s="396" t="s">
        <v>31</v>
      </c>
      <c r="B22" s="390">
        <f>T13人的控除!$B$2+IF(C50=1,100000,0)</f>
        <v>430000</v>
      </c>
      <c r="C22" s="390">
        <f>T13人的控除!$B$2+IF(C50=1,100000,0)</f>
        <v>430000</v>
      </c>
      <c r="D22" s="390">
        <f>T13人的控除!B2+IF(C50=1,100000,0)</f>
        <v>430000</v>
      </c>
      <c r="E22" s="151"/>
      <c r="F22" s="151"/>
      <c r="G22" s="151"/>
    </row>
    <row r="23" spans="1:7" x14ac:dyDescent="0.15">
      <c r="A23" s="396" t="s">
        <v>28</v>
      </c>
      <c r="B23" s="390">
        <v>0</v>
      </c>
      <c r="C23" s="390">
        <f>SUM(海外居住者のための収入等申告書!D47:D52,C35:C37,IF(D10="e",1,0))</f>
        <v>2</v>
      </c>
      <c r="D23" s="390">
        <f>SUM(海外居住者のための収入等申告書!H47:H52,D35:D37,IF(C10="e",1,0))</f>
        <v>0</v>
      </c>
      <c r="E23" s="151"/>
      <c r="F23" s="151"/>
      <c r="G23" s="151"/>
    </row>
    <row r="24" spans="1:7" x14ac:dyDescent="0.15">
      <c r="A24" s="396" t="s">
        <v>29</v>
      </c>
      <c r="B24" s="390">
        <f>SUM(B3,B5,B7)*0.15</f>
        <v>0</v>
      </c>
      <c r="C24" s="390">
        <f>SUM(C3,C5,C7)*0.15</f>
        <v>0</v>
      </c>
      <c r="D24" s="390">
        <f>SUM(D3,D5,D7)*0.15</f>
        <v>0</v>
      </c>
      <c r="E24" s="151"/>
      <c r="F24" s="151"/>
      <c r="G24" s="151"/>
    </row>
    <row r="25" spans="1:7" x14ac:dyDescent="0.15">
      <c r="A25" s="396" t="s">
        <v>32</v>
      </c>
      <c r="B25" s="390">
        <f>T13人的控除!$B$51+IF(C50=1,100000,0)</f>
        <v>450000</v>
      </c>
      <c r="C25" s="390">
        <f>T13人的控除!$B$51*SUM(1,C23)+IF(SUM(C23)&gt;0,T13人的控除!$B$52,0)+IF(C50=1,100000,0)</f>
        <v>1470000</v>
      </c>
      <c r="D25" s="390">
        <f>T13人的控除!$B$51*SUM(1,D23)+IF(SUM(D23)&gt;0,T13人的控除!$B$52,0)+IF(C50=1,100000,0)</f>
        <v>450000</v>
      </c>
      <c r="E25" s="151"/>
      <c r="F25" s="151"/>
      <c r="G25" s="151"/>
    </row>
    <row r="26" spans="1:7" x14ac:dyDescent="0.15">
      <c r="A26" s="396" t="s">
        <v>33</v>
      </c>
      <c r="B26" s="390">
        <f>IF(OR(VLOOKUP(海外居住者のための収入等申告書!D21,計算シート!$F$3:$G$10,2,0)&gt;3,IF(OR(C44&lt;2023,AND(C44=2022,C45=0)),B2&lt;20,B2&lt;18)),T13人的控除!$B$53+IF(C50=1,100000,0),0)</f>
        <v>0</v>
      </c>
      <c r="C26" s="390">
        <f>IF(OR(SUM(C19:C21)&gt;0,VLOOKUP(海外居住者のための収入等申告書!$D$35,計算シート!$F$3:$G$10,2,0)&gt;3,IF(OR(C44&lt;2023,AND(C44=2022,C45=0)),C2&lt;20,C2&lt;18)),T13人的控除!$B$53+IF(C50=1,100000,0),0)</f>
        <v>0</v>
      </c>
      <c r="D26" s="390">
        <f>IF(OR(SUM(D19:D21)&gt;0,VLOOKUP(海外居住者のための収入等申告書!$D$35,計算シート!$F$3:$G$10,2,0)&gt;3,IF(OR(C44&lt;2023,AND(C44=2022,C45=0)),D2&lt;20,D2&lt;18)),T13人的控除!$B$53+IF(C50=1,100000,0),0)</f>
        <v>0</v>
      </c>
      <c r="E26" s="151"/>
      <c r="F26" s="151"/>
      <c r="G26" s="151"/>
    </row>
    <row r="27" spans="1:7" x14ac:dyDescent="0.15">
      <c r="A27" s="396" t="s">
        <v>267</v>
      </c>
      <c r="B27" s="390">
        <f>SUM(B11:B22,B24)</f>
        <v>690000</v>
      </c>
      <c r="C27" s="390">
        <f>SUM(C11:C22,C24)</f>
        <v>1140000</v>
      </c>
      <c r="D27" s="390">
        <f>SUM(D11:D22,D24)</f>
        <v>430000</v>
      </c>
      <c r="E27" s="151"/>
      <c r="F27" s="151"/>
      <c r="G27" s="151"/>
    </row>
    <row r="28" spans="1:7" x14ac:dyDescent="0.15">
      <c r="A28" s="396" t="s">
        <v>30</v>
      </c>
      <c r="B28" s="390">
        <f>IF(B8-B27&lt;0,0,ROUNDDOWN(B8-B27,-3))</f>
        <v>0</v>
      </c>
      <c r="C28" s="390">
        <f>IF(C8-C27&lt;0,0,ROUNDDOWN(C8-C27,-3))</f>
        <v>0</v>
      </c>
      <c r="D28" s="390">
        <f>IF(D8-D27&lt;0,0,ROUNDDOWN(D8-D27,-3))</f>
        <v>0</v>
      </c>
      <c r="E28" s="151"/>
      <c r="F28" s="151"/>
      <c r="G28" s="151"/>
    </row>
    <row r="29" spans="1:7" x14ac:dyDescent="0.15">
      <c r="A29" s="396" t="s">
        <v>34</v>
      </c>
      <c r="B29" s="390">
        <f>B28*T16税率等!$B$2/100</f>
        <v>0</v>
      </c>
      <c r="C29" s="390">
        <f>C28*T16税率等!$B$2/100</f>
        <v>0</v>
      </c>
      <c r="D29" s="390">
        <f>D28*T16税率等!$B$2/100</f>
        <v>0</v>
      </c>
      <c r="E29" s="151"/>
      <c r="F29" s="151"/>
      <c r="G29" s="151"/>
    </row>
    <row r="30" spans="1:7" x14ac:dyDescent="0.15">
      <c r="A30" s="396" t="s">
        <v>268</v>
      </c>
      <c r="B30" s="390">
        <v>0</v>
      </c>
      <c r="C30" s="390">
        <f>IF(C10="A",IF(D10="e",IF(D2&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380000</v>
      </c>
      <c r="D30" s="390">
        <f>IF(D10="A",IF(C10="e",IF(C2&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6" t="s">
        <v>35</v>
      </c>
      <c r="B31" s="390">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90">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480000</v>
      </c>
      <c r="D31" s="390">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6" t="s">
        <v>36</v>
      </c>
      <c r="B32" s="390">
        <f>ROUNDDOWN(IF(B28&lt;=T15調整控除!$B$51,IF((MIN(B31,B28))&lt;0,0,MIN(B31,B28))*T15調整控除!$B$52/100,IF((B31-(B28-T15調整控除!$B$51))*T15調整控除!$B$52/100&lt;T15調整控除!$B$53,T15調整控除!$B$53,(B31-(B28-T15調整控除!$B$51))*T15調整控除!$B$52/100)),0)</f>
        <v>0</v>
      </c>
      <c r="C32" s="390">
        <f>ROUNDDOWN(IF(C28&lt;=T15調整控除!$B$51,IF((MIN(C31,C28))&lt;0,0,MIN(C31,C28))*T15調整控除!$B$52/100,IF((C31-(C28-T15調整控除!$B$51))*T15調整控除!$B$52/100&lt;T15調整控除!$B$53,T15調整控除!$B$53,(C31-(C28-T15調整控除!$B$51))*T15調整控除!$B$52/100)),0)</f>
        <v>0</v>
      </c>
      <c r="D32" s="390">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6" t="s">
        <v>37</v>
      </c>
      <c r="B33" s="390">
        <f>IF((((B25-B8)*T16税率等!$B$2/10)+ROUNDDOWN(B29-B32,-2))&lt;0,0,(((B25-B8)*T16税率等!$B$2/10)+ROUNDDOWN(B29-B32,-2)))</f>
        <v>270000</v>
      </c>
      <c r="C33" s="390">
        <f>IF((((C25-C8)*T16税率等!$B$2/10)+ROUNDDOWN(C29-C32,-2))&lt;0,0,(((C25-C8)*T16税率等!$B$2/10)+ROUNDDOWN(C29-C32,-2)))</f>
        <v>882000</v>
      </c>
      <c r="D33" s="390">
        <f>IF((((D25-D8)*T16税率等!$B$2/10)+ROUNDDOWN(D29-D32,-2))&lt;0,0,(((D25-D8)*T16税率等!$B$2/10)+ROUNDDOWN(D29-D32,-2)))</f>
        <v>270000</v>
      </c>
      <c r="E33" s="151"/>
      <c r="F33" s="151"/>
      <c r="G33" s="151"/>
    </row>
    <row r="34" spans="1:7" x14ac:dyDescent="0.15">
      <c r="A34" s="396" t="s">
        <v>590</v>
      </c>
      <c r="B34" s="390">
        <f>IFERROR(IF(OR(B8&lt;=B26,B8&lt;=B25),0,ROUNDDOWN(IF(OR(B8&lt;=B25,B8&lt;=B25,B29-B32-B33&lt;0),0,B29-B32-B33),-2)),"エラー")</f>
        <v>0</v>
      </c>
      <c r="C34" s="390">
        <f>IFERROR(IF(OR(C8&lt;=C26,C8&lt;=C25),0,ROUNDDOWN(IF(OR(C8&lt;=C25,C8&lt;=C25,C29-C32-C33&lt;0),0,C29-C32-C33),-2)),"エラー")</f>
        <v>0</v>
      </c>
      <c r="D34" s="390">
        <f>IFERROR(IF(VLOOKUP(海外居住者のための収入等申告書!D33,計算シート!F3:G13,2,0)=2,0,IF(OR(D8&lt;=D26,D8&lt;=D25),0,ROUNDDOWN(IF(OR(D8&lt;=D25,D8&lt;=D25,D29-D32-D33&lt;0),0,D29-D32-D33),-2))),"エラー")</f>
        <v>0</v>
      </c>
      <c r="E34" s="151"/>
      <c r="F34" s="151"/>
      <c r="G34" s="151"/>
    </row>
    <row r="35" spans="1:7" x14ac:dyDescent="0.15">
      <c r="A35" s="398" t="s">
        <v>292</v>
      </c>
      <c r="B35" s="401"/>
      <c r="C35" s="390">
        <f>IF(VLOOKUP(海外居住者のための収入等申告書!$D$20,計算シート!$F$11:$G$13,2,0)=9,IF(AND($B$2&lt;16,$B$8&lt;=T11所得区分!$B$5+IF(C50=1,100000,0)),1,0),0)</f>
        <v>0</v>
      </c>
      <c r="D35" s="390">
        <f>IF(VLOOKUP(海外居住者のための収入等申告書!$D$20,計算シート!$F$11:$G$13,2,0)=10,IF(AND($B$2&lt;16,$B$8&lt;=T11所得区分!$B$5+IF(C50=1,100000,0)),1,0),0)</f>
        <v>0</v>
      </c>
      <c r="E35" s="151"/>
      <c r="F35" s="151"/>
      <c r="G35" s="151"/>
    </row>
    <row r="36" spans="1:7" x14ac:dyDescent="0.15">
      <c r="A36" s="398" t="s">
        <v>286</v>
      </c>
      <c r="B36" s="402"/>
      <c r="C36" s="392">
        <f>IF(VLOOKUP(海外居住者のための収入等申告書!$D$20,計算シート!$F$11:$G$13,2,0)=9,IF(AND(OR(AND($B$2&gt;=16,$B$2&lt;=18),$B$2&gt;22),$B$8&lt;=T11所得区分!$B$5+IF(C50=1,100000,0)),1,0),0)</f>
        <v>1</v>
      </c>
      <c r="D36" s="392">
        <f>IF(VLOOKUP(海外居住者のための収入等申告書!$D$20,計算シート!$F$11:$G$13,2,0)=10,IF(AND(OR(AND($B$2&gt;=16,$B$2&lt;=18),$B$2&gt;22),$B$8&lt;=T11所得区分!$B$5+IF(C50=1,100000,0)),1,0),0)</f>
        <v>0</v>
      </c>
      <c r="E36" s="151"/>
      <c r="F36" s="151"/>
      <c r="G36" s="151"/>
    </row>
    <row r="37" spans="1:7" x14ac:dyDescent="0.15">
      <c r="A37" s="398" t="s">
        <v>287</v>
      </c>
      <c r="B37" s="402"/>
      <c r="C37" s="392">
        <f>IF(VLOOKUP(海外居住者のための収入等申告書!$D$20,計算シート!$F$11:$G$13,2,0)=9,IF(AND(AND($B$2&gt;=19,$B$2&lt;=22),$B$8&lt;=T11所得区分!$B$5+IF(C50=1,100000,0)),1,0),0)</f>
        <v>0</v>
      </c>
      <c r="D37" s="392">
        <f>IF(VLOOKUP(海外居住者のための収入等申告書!$D$20,計算シート!$F$11:$G$13,2,0)=10,IF(AND(AND($B$2&gt;=19,$B$2&lt;=22),$B$8&lt;=T11所得区分!$B$5+IF(C50=1,100000,0)),1,0),0)</f>
        <v>0</v>
      </c>
      <c r="E37" s="151"/>
      <c r="F37" s="151"/>
      <c r="G37" s="151"/>
    </row>
    <row r="38" spans="1:7" x14ac:dyDescent="0.15">
      <c r="A38" s="398" t="s">
        <v>288</v>
      </c>
      <c r="B38" s="402"/>
      <c r="C38" s="392">
        <f>IF(AND(SUM(C35:C37)&gt;0,$B$16&gt;0),1,0)</f>
        <v>0</v>
      </c>
      <c r="D38" s="392">
        <f>IF(AND(SUM(D35:D37)&gt;0,$B$16&gt;0),1,0)</f>
        <v>0</v>
      </c>
      <c r="E38" s="151"/>
      <c r="F38" s="151"/>
      <c r="G38" s="151"/>
    </row>
    <row r="39" spans="1:7" x14ac:dyDescent="0.15">
      <c r="A39" s="398" t="s">
        <v>289</v>
      </c>
      <c r="B39" s="402"/>
      <c r="C39" s="392">
        <f>IF(AND(SUM(C35:C37)&gt;0,$B$17&gt;0,C40=0),1,0)</f>
        <v>0</v>
      </c>
      <c r="D39" s="392">
        <f>IF(AND(SUM(D35:D37)&gt;0,$B$17&gt;0,D40=0),1,0)</f>
        <v>0</v>
      </c>
      <c r="E39" s="151"/>
      <c r="F39" s="151"/>
      <c r="G39" s="151"/>
    </row>
    <row r="40" spans="1:7" x14ac:dyDescent="0.15">
      <c r="A40" s="398" t="s">
        <v>290</v>
      </c>
      <c r="B40" s="402"/>
      <c r="C40" s="392">
        <f>IF(AND(SUM(C35:C37)&gt;0,$B$17&gt;0,VLOOKUP(海外居住者のための収入等申告書!$D$22,計算シート!$F$3:$G$13,2,0)=1),1,0)</f>
        <v>0</v>
      </c>
      <c r="D40" s="392">
        <f>IF(AND(SUM(D35:D37)&gt;0,$B$17&gt;0,VLOOKUP(海外居住者のための収入等申告書!$D$22,計算シート!$F$3:$G$13,2,0)=1),1,0)</f>
        <v>0</v>
      </c>
      <c r="E40" s="151"/>
      <c r="F40" s="151"/>
      <c r="G40" s="151"/>
    </row>
    <row r="41" spans="1:7" x14ac:dyDescent="0.15">
      <c r="A41" s="398" t="s">
        <v>316</v>
      </c>
      <c r="B41" s="402"/>
      <c r="C41" s="390">
        <f>SUM(C3,C5)</f>
        <v>0</v>
      </c>
      <c r="D41" s="390">
        <f>SUM(D3,D5)</f>
        <v>0</v>
      </c>
      <c r="E41" s="151"/>
      <c r="F41" s="151"/>
      <c r="G41" s="151"/>
    </row>
    <row r="42" spans="1:7" x14ac:dyDescent="0.15">
      <c r="A42" s="398" t="s">
        <v>317</v>
      </c>
      <c r="B42" s="402"/>
      <c r="C42" s="390">
        <f>C7</f>
        <v>0</v>
      </c>
      <c r="D42" s="390">
        <f>D7</f>
        <v>0</v>
      </c>
      <c r="E42" s="151"/>
      <c r="F42" s="151"/>
      <c r="G42" s="151"/>
    </row>
    <row r="43" spans="1:7" x14ac:dyDescent="0.15">
      <c r="A43" s="398" t="s">
        <v>402</v>
      </c>
      <c r="B43" s="402"/>
      <c r="C43" s="392">
        <f>IFERROR(VLOOKUP(海外居住者のための収入等申告書!H10,計算シート!F15:G18,2,0),0)</f>
        <v>3</v>
      </c>
      <c r="D43" s="412"/>
      <c r="E43" s="151"/>
      <c r="F43" s="151"/>
      <c r="G43" s="151"/>
    </row>
    <row r="44" spans="1:7" x14ac:dyDescent="0.15">
      <c r="A44" s="398" t="s">
        <v>406</v>
      </c>
      <c r="B44" s="402"/>
      <c r="C44" s="392">
        <f>IF(海外居住者のための収入等申告書!D10=0,2020,海外居住者のための収入等申告書!D10)</f>
        <v>2023</v>
      </c>
      <c r="D44" s="412"/>
      <c r="E44" s="151"/>
      <c r="F44" s="151"/>
      <c r="G44" s="151"/>
    </row>
    <row r="45" spans="1:7" x14ac:dyDescent="0.15">
      <c r="A45" s="398" t="s">
        <v>411</v>
      </c>
      <c r="B45" s="402"/>
      <c r="C45" s="392">
        <f>IF(C43=2,0,1)</f>
        <v>1</v>
      </c>
      <c r="D45" s="412"/>
      <c r="E45" s="151"/>
      <c r="F45" s="151"/>
      <c r="G45" s="151"/>
    </row>
    <row r="46" spans="1:7" x14ac:dyDescent="0.15">
      <c r="A46" s="398" t="s">
        <v>408</v>
      </c>
      <c r="B46" s="402"/>
      <c r="C46" s="393">
        <f>IF(C45=0,DATE(C44-1,1,1),DATE(C44,1,1))</f>
        <v>44927</v>
      </c>
      <c r="D46" s="412"/>
      <c r="E46" s="151"/>
      <c r="F46" s="151"/>
      <c r="G46" s="151"/>
    </row>
    <row r="47" spans="1:7" x14ac:dyDescent="0.15">
      <c r="A47" s="398" t="s">
        <v>418</v>
      </c>
      <c r="B47" s="402"/>
      <c r="C47" s="394">
        <f>YEAR(前年レート!K3)</f>
        <v>2021</v>
      </c>
      <c r="D47" s="412"/>
      <c r="E47" s="151"/>
      <c r="F47" s="151"/>
      <c r="G47" s="151"/>
    </row>
    <row r="48" spans="1:7" x14ac:dyDescent="0.15">
      <c r="A48" s="398" t="s">
        <v>419</v>
      </c>
      <c r="B48" s="402"/>
      <c r="C48" s="394">
        <f>YEAR(当年レート!K3)</f>
        <v>2022</v>
      </c>
      <c r="D48" s="412"/>
      <c r="E48" s="151"/>
      <c r="F48" s="151"/>
      <c r="G48" s="151"/>
    </row>
    <row r="49" spans="1:7" x14ac:dyDescent="0.15">
      <c r="A49" s="398" t="s">
        <v>420</v>
      </c>
      <c r="B49" s="402"/>
      <c r="C49" s="392">
        <f>IF(YEAR(C46)-1=C47,1,IF(YEAR(C46)-1=C48,2,0))</f>
        <v>2</v>
      </c>
      <c r="D49" s="412"/>
      <c r="E49" s="151"/>
      <c r="F49" s="151"/>
      <c r="G49" s="151"/>
    </row>
    <row r="50" spans="1:7" x14ac:dyDescent="0.15">
      <c r="A50" s="399" t="s">
        <v>589</v>
      </c>
      <c r="B50" s="403"/>
      <c r="C50" s="51">
        <f>IF(C44&lt;=2020,0,IF(AND(C44=2020,C43=2),0,1))</f>
        <v>1</v>
      </c>
      <c r="D50" s="55"/>
    </row>
    <row r="51" spans="1:7" x14ac:dyDescent="0.15">
      <c r="A51" s="399" t="s">
        <v>613</v>
      </c>
      <c r="B51" s="403"/>
      <c r="C51" s="51">
        <f>IF($C$50=0,0,IF(AND(SUM(C12:C13,C35:C37,C39:C40)&gt;0,C3&gt;8500000),ROUNDUP((MIN(C3,T11所得区分!$B$78)-8500000)*0.1,0),0))</f>
        <v>0</v>
      </c>
      <c r="D51" s="51">
        <f>IF($C$50=0,0,IF(AND(SUM(D12:D13,D35:D37,D39:D40)&gt;0,D3&gt;8500000),ROUNDUP((MIN(D3,T11所得区分!$B$78)-8500000)*0.1,0),0))</f>
        <v>0</v>
      </c>
    </row>
    <row r="52" spans="1:7" x14ac:dyDescent="0.15">
      <c r="A52" s="400" t="s">
        <v>614</v>
      </c>
      <c r="B52" s="404"/>
      <c r="C52" s="51">
        <f>IF(AND($C$50=1,C4&gt;0,C6&gt;0,SUM(C4,C6)&gt;T11所得区分!$B$79),SUM(MIN(計算シート!C4,T11所得区分!$B$79),MIN(計算シート!C6,T11所得区分!$B$79),-100000),0)</f>
        <v>0</v>
      </c>
      <c r="D52" s="51">
        <f>IF(AND($C$50=1,D4&gt;0,D6&gt;0,SUM(D4,D6)&gt;T11所得区分!$B$79),SUM(MIN(計算シート!D4,T11所得区分!$B$79),MIN(計算シート!D6,T11所得区分!$B$79),-100000),0)</f>
        <v>0</v>
      </c>
    </row>
    <row r="53" spans="1:7" x14ac:dyDescent="0.15">
      <c r="A53" s="405" t="s">
        <v>645</v>
      </c>
      <c r="B53" s="406"/>
      <c r="C53" s="51">
        <f>IF(YEAR(C46)&gt;2021,1,0)</f>
        <v>1</v>
      </c>
      <c r="D53" s="55"/>
    </row>
    <row r="54" spans="1:7" x14ac:dyDescent="0.15">
      <c r="A54" s="405" t="s">
        <v>646</v>
      </c>
      <c r="B54" s="406"/>
      <c r="C54" s="51">
        <f>DATEDIF(海外居住者のための収入等申告書!D19,C46-1,"y")</f>
        <v>122</v>
      </c>
      <c r="D54" s="55"/>
    </row>
    <row r="55" spans="1:7" x14ac:dyDescent="0.15">
      <c r="A55" s="405" t="s">
        <v>393</v>
      </c>
      <c r="B55" s="406"/>
      <c r="C55" s="51">
        <f>IFERROR(VALUE(TEXT(MONTH(海外居住者のための収入等申告書!D19),"00")&amp;TEXT(DAY(海外居住者のための収入等申告書!D19),"00")),1000)</f>
        <v>100</v>
      </c>
      <c r="D55" s="55"/>
    </row>
    <row r="56" spans="1:7" x14ac:dyDescent="0.15">
      <c r="A56" s="405" t="s">
        <v>647</v>
      </c>
      <c r="B56" s="406"/>
      <c r="C56" s="51">
        <f>IFERROR(IF(AND(C53=1,C54=18,C55&gt;101,C55&lt;=401),1,0),0)</f>
        <v>0</v>
      </c>
      <c r="D56" s="55"/>
    </row>
    <row r="57" spans="1:7" x14ac:dyDescent="0.15">
      <c r="A57" s="405" t="s">
        <v>648</v>
      </c>
      <c r="B57" s="406"/>
      <c r="C57" s="51">
        <f>IF(AND(C56=1,SUM(C36)&gt;0,IF(SUM(D36)&gt;0,IF(C34&gt;=D34,1,0),1)&gt;0),7200,0)</f>
        <v>0</v>
      </c>
      <c r="D57" s="51">
        <f>IF(AND(C56=1,SUM(D36)&gt;0,IF(SUM(C36)&gt;0,IF(C34&lt;D34,1,0),1)&gt;0),7200,0)</f>
        <v>0</v>
      </c>
    </row>
    <row r="58" spans="1:7" x14ac:dyDescent="0.15">
      <c r="A58" s="405" t="s">
        <v>649</v>
      </c>
      <c r="B58" s="406"/>
      <c r="C58" s="413">
        <f>IFERROR(MAX(0,C34-C57),C34)</f>
        <v>0</v>
      </c>
      <c r="D58" s="413">
        <f>IFERROR(MAX(0,D34-D57),D34)</f>
        <v>0</v>
      </c>
    </row>
    <row r="59" spans="1:7" x14ac:dyDescent="0.15">
      <c r="A59" s="398" t="s">
        <v>940</v>
      </c>
      <c r="B59" s="403"/>
      <c r="C59" s="51">
        <f>IFERROR(IF(OR(C8&lt;=C26,C8&lt;=C25,C29-C32-C57&lt;0),0,ROUNDDOWN(C29-C32-C57,-2)),"エラー")</f>
        <v>0</v>
      </c>
      <c r="D59" s="51">
        <f>IFERROR(IF(VLOOKUP(海外居住者のための収入等申告書!D33,計算シート!F3:G13,2,0)=2,0,IF(OR(D8&lt;=D26,D8&lt;=D25,D29-D32-D57&lt;0),0,ROUNDDOWN(D29-D32-D57,-2))),"エラー")</f>
        <v>0</v>
      </c>
    </row>
    <row r="60" spans="1:7" x14ac:dyDescent="0.15">
      <c r="A60" s="399" t="s">
        <v>933</v>
      </c>
      <c r="B60" s="403"/>
      <c r="C60" s="51">
        <f>IF(OR(AND(C44&gt;2023,C43&lt;4),AND(C44=2023,C43=1)),1,0)</f>
        <v>0</v>
      </c>
      <c r="D60" s="55"/>
    </row>
    <row r="61" spans="1:7" x14ac:dyDescent="0.15">
      <c r="A61" s="399" t="s">
        <v>931</v>
      </c>
      <c r="B61" s="403"/>
      <c r="C61" s="413">
        <f>SUM(海外居住者のための収入等申告書!D47:D50,計算シート!C35:C37)+IF(D1="生計維持者２",SUM(海外居住者のための収入等申告書!H47:H50,計算シート!D35:D37),0)</f>
        <v>1</v>
      </c>
      <c r="D61" s="55"/>
    </row>
    <row r="62" spans="1:7" x14ac:dyDescent="0.15">
      <c r="A62" s="399" t="s">
        <v>932</v>
      </c>
      <c r="B62" s="403"/>
      <c r="C62" s="51">
        <f>IF(OR(SUM(C19:D21)&gt;0,SUM(C9:D9)=0),1,0)</f>
        <v>0</v>
      </c>
      <c r="D62" s="55"/>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V2"/>
  <sheetViews>
    <sheetView workbookViewId="0">
      <selection activeCell="V14" sqref="V14"/>
    </sheetView>
  </sheetViews>
  <sheetFormatPr defaultRowHeight="13.5" x14ac:dyDescent="0.15"/>
  <cols>
    <col min="1" max="1" width="24.5" bestFit="1" customWidth="1"/>
  </cols>
  <sheetData>
    <row r="1" spans="1:152" x14ac:dyDescent="0.15">
      <c r="A1" s="407" t="s">
        <v>798</v>
      </c>
      <c r="B1" s="396" t="s">
        <v>651</v>
      </c>
      <c r="C1" s="396" t="s">
        <v>652</v>
      </c>
      <c r="D1" s="396" t="s">
        <v>653</v>
      </c>
      <c r="E1" s="396" t="s">
        <v>654</v>
      </c>
      <c r="F1" s="396" t="s">
        <v>655</v>
      </c>
      <c r="G1" s="396" t="s">
        <v>656</v>
      </c>
      <c r="H1" s="396" t="s">
        <v>657</v>
      </c>
      <c r="I1" s="396" t="s">
        <v>658</v>
      </c>
      <c r="J1" s="396" t="s">
        <v>659</v>
      </c>
      <c r="K1" s="396" t="s">
        <v>660</v>
      </c>
      <c r="L1" s="396" t="s">
        <v>661</v>
      </c>
      <c r="M1" s="396" t="s">
        <v>662</v>
      </c>
      <c r="N1" s="396" t="s">
        <v>663</v>
      </c>
      <c r="O1" s="396" t="s">
        <v>664</v>
      </c>
      <c r="P1" s="396" t="s">
        <v>665</v>
      </c>
      <c r="Q1" s="396" t="s">
        <v>666</v>
      </c>
      <c r="R1" s="396" t="s">
        <v>667</v>
      </c>
      <c r="S1" s="397" t="s">
        <v>668</v>
      </c>
      <c r="T1" s="396" t="s">
        <v>669</v>
      </c>
      <c r="U1" s="396" t="s">
        <v>670</v>
      </c>
      <c r="V1" s="396" t="s">
        <v>671</v>
      </c>
      <c r="W1" s="396" t="s">
        <v>672</v>
      </c>
      <c r="X1" s="396" t="s">
        <v>673</v>
      </c>
      <c r="Y1" s="396" t="s">
        <v>674</v>
      </c>
      <c r="Z1" s="396" t="s">
        <v>675</v>
      </c>
      <c r="AA1" s="396" t="s">
        <v>676</v>
      </c>
      <c r="AB1" s="396" t="s">
        <v>677</v>
      </c>
      <c r="AC1" s="396" t="s">
        <v>678</v>
      </c>
      <c r="AD1" s="396" t="s">
        <v>679</v>
      </c>
      <c r="AE1" s="396" t="s">
        <v>680</v>
      </c>
      <c r="AF1" s="396" t="s">
        <v>681</v>
      </c>
      <c r="AG1" s="396" t="s">
        <v>682</v>
      </c>
      <c r="AH1" s="396" t="s">
        <v>683</v>
      </c>
      <c r="AI1" s="396" t="s">
        <v>684</v>
      </c>
      <c r="AJ1" s="396" t="s">
        <v>685</v>
      </c>
      <c r="AK1" s="396" t="s">
        <v>686</v>
      </c>
      <c r="AL1" s="396" t="s">
        <v>687</v>
      </c>
      <c r="AM1" s="396" t="s">
        <v>688</v>
      </c>
      <c r="AN1" s="396" t="s">
        <v>689</v>
      </c>
      <c r="AO1" s="396" t="s">
        <v>690</v>
      </c>
      <c r="AP1" s="396" t="s">
        <v>691</v>
      </c>
      <c r="AQ1" s="396" t="s">
        <v>692</v>
      </c>
      <c r="AR1" s="396" t="s">
        <v>693</v>
      </c>
      <c r="AS1" s="396" t="s">
        <v>694</v>
      </c>
      <c r="AT1" s="396" t="s">
        <v>695</v>
      </c>
      <c r="AU1" s="396" t="s">
        <v>696</v>
      </c>
      <c r="AV1" s="396" t="s">
        <v>697</v>
      </c>
      <c r="AW1" s="396" t="s">
        <v>698</v>
      </c>
      <c r="AX1" s="396" t="s">
        <v>699</v>
      </c>
      <c r="AY1" s="396" t="s">
        <v>700</v>
      </c>
      <c r="AZ1" s="397" t="s">
        <v>701</v>
      </c>
      <c r="BA1" s="396" t="s">
        <v>702</v>
      </c>
      <c r="BB1" s="396" t="s">
        <v>703</v>
      </c>
      <c r="BC1" s="396" t="s">
        <v>704</v>
      </c>
      <c r="BD1" s="396" t="s">
        <v>705</v>
      </c>
      <c r="BE1" s="396" t="s">
        <v>706</v>
      </c>
      <c r="BF1" s="396" t="s">
        <v>707</v>
      </c>
      <c r="BG1" s="396" t="s">
        <v>708</v>
      </c>
      <c r="BH1" s="396" t="s">
        <v>709</v>
      </c>
      <c r="BI1" s="396" t="s">
        <v>710</v>
      </c>
      <c r="BJ1" s="396" t="s">
        <v>711</v>
      </c>
      <c r="BK1" s="396" t="s">
        <v>712</v>
      </c>
      <c r="BL1" s="396" t="s">
        <v>713</v>
      </c>
      <c r="BM1" s="396" t="s">
        <v>714</v>
      </c>
      <c r="BN1" s="396" t="s">
        <v>715</v>
      </c>
      <c r="BO1" s="396" t="s">
        <v>716</v>
      </c>
      <c r="BP1" s="398" t="s">
        <v>717</v>
      </c>
      <c r="BQ1" s="398" t="s">
        <v>718</v>
      </c>
      <c r="BR1" s="398" t="s">
        <v>719</v>
      </c>
      <c r="BS1" s="398" t="s">
        <v>720</v>
      </c>
      <c r="BT1" s="398" t="s">
        <v>721</v>
      </c>
      <c r="BU1" s="398" t="s">
        <v>722</v>
      </c>
      <c r="BV1" s="398" t="s">
        <v>723</v>
      </c>
      <c r="BW1" s="398" t="s">
        <v>724</v>
      </c>
      <c r="BX1" s="398" t="s">
        <v>725</v>
      </c>
      <c r="BY1" s="398" t="s">
        <v>726</v>
      </c>
      <c r="BZ1" s="398" t="s">
        <v>727</v>
      </c>
      <c r="CA1" s="398" t="s">
        <v>728</v>
      </c>
      <c r="CB1" s="398" t="s">
        <v>729</v>
      </c>
      <c r="CC1" s="398" t="s">
        <v>730</v>
      </c>
      <c r="CD1" s="398" t="s">
        <v>731</v>
      </c>
      <c r="CE1" s="399" t="s">
        <v>732</v>
      </c>
      <c r="CF1" s="399" t="s">
        <v>733</v>
      </c>
      <c r="CG1" s="400" t="s">
        <v>734</v>
      </c>
      <c r="CH1" s="405" t="s">
        <v>735</v>
      </c>
      <c r="CI1" s="405" t="s">
        <v>736</v>
      </c>
      <c r="CJ1" s="405" t="s">
        <v>737</v>
      </c>
      <c r="CK1" s="405" t="s">
        <v>738</v>
      </c>
      <c r="CL1" s="405" t="s">
        <v>739</v>
      </c>
      <c r="CM1" s="405" t="s">
        <v>740</v>
      </c>
      <c r="CN1" s="396" t="s">
        <v>741</v>
      </c>
      <c r="CO1" s="396" t="s">
        <v>742</v>
      </c>
      <c r="CP1" s="396" t="s">
        <v>743</v>
      </c>
      <c r="CQ1" s="396" t="s">
        <v>744</v>
      </c>
      <c r="CR1" s="396" t="s">
        <v>745</v>
      </c>
      <c r="CS1" s="396" t="s">
        <v>746</v>
      </c>
      <c r="CT1" s="396" t="s">
        <v>747</v>
      </c>
      <c r="CU1" s="396" t="s">
        <v>748</v>
      </c>
      <c r="CV1" s="396" t="s">
        <v>749</v>
      </c>
      <c r="CW1" s="396" t="s">
        <v>750</v>
      </c>
      <c r="CX1" s="396" t="s">
        <v>751</v>
      </c>
      <c r="CY1" s="396" t="s">
        <v>752</v>
      </c>
      <c r="CZ1" s="396" t="s">
        <v>753</v>
      </c>
      <c r="DA1" s="396" t="s">
        <v>754</v>
      </c>
      <c r="DB1" s="396" t="s">
        <v>755</v>
      </c>
      <c r="DC1" s="396" t="s">
        <v>756</v>
      </c>
      <c r="DD1" s="396" t="s">
        <v>757</v>
      </c>
      <c r="DE1" s="397" t="s">
        <v>758</v>
      </c>
      <c r="DF1" s="396" t="s">
        <v>759</v>
      </c>
      <c r="DG1" s="396" t="s">
        <v>760</v>
      </c>
      <c r="DH1" s="396" t="s">
        <v>761</v>
      </c>
      <c r="DI1" s="396" t="s">
        <v>762</v>
      </c>
      <c r="DJ1" s="396" t="s">
        <v>763</v>
      </c>
      <c r="DK1" s="396" t="s">
        <v>764</v>
      </c>
      <c r="DL1" s="396" t="s">
        <v>765</v>
      </c>
      <c r="DM1" s="396" t="s">
        <v>766</v>
      </c>
      <c r="DN1" s="396" t="s">
        <v>767</v>
      </c>
      <c r="DO1" s="396" t="s">
        <v>768</v>
      </c>
      <c r="DP1" s="396" t="s">
        <v>769</v>
      </c>
      <c r="DQ1" s="396" t="s">
        <v>770</v>
      </c>
      <c r="DR1" s="396" t="s">
        <v>771</v>
      </c>
      <c r="DS1" s="396" t="s">
        <v>772</v>
      </c>
      <c r="DT1" s="396" t="s">
        <v>773</v>
      </c>
      <c r="DU1" s="398" t="s">
        <v>774</v>
      </c>
      <c r="DV1" s="398" t="s">
        <v>775</v>
      </c>
      <c r="DW1" s="398" t="s">
        <v>776</v>
      </c>
      <c r="DX1" s="398" t="s">
        <v>777</v>
      </c>
      <c r="DY1" s="398" t="s">
        <v>778</v>
      </c>
      <c r="DZ1" s="398" t="s">
        <v>779</v>
      </c>
      <c r="EA1" s="398" t="s">
        <v>780</v>
      </c>
      <c r="EB1" s="398" t="s">
        <v>781</v>
      </c>
      <c r="EC1" s="398" t="s">
        <v>782</v>
      </c>
      <c r="ED1" s="398" t="s">
        <v>783</v>
      </c>
      <c r="EE1" s="398" t="s">
        <v>784</v>
      </c>
      <c r="EF1" s="398" t="s">
        <v>785</v>
      </c>
      <c r="EG1" s="398" t="s">
        <v>786</v>
      </c>
      <c r="EH1" s="398" t="s">
        <v>787</v>
      </c>
      <c r="EI1" s="398" t="s">
        <v>788</v>
      </c>
      <c r="EJ1" s="399" t="s">
        <v>789</v>
      </c>
      <c r="EK1" s="399" t="s">
        <v>790</v>
      </c>
      <c r="EL1" s="400" t="s">
        <v>791</v>
      </c>
      <c r="EM1" s="405" t="s">
        <v>792</v>
      </c>
      <c r="EN1" s="405" t="s">
        <v>793</v>
      </c>
      <c r="EO1" s="405" t="s">
        <v>794</v>
      </c>
      <c r="EP1" s="405" t="s">
        <v>795</v>
      </c>
      <c r="EQ1" s="405" t="s">
        <v>796</v>
      </c>
      <c r="ER1" s="405" t="s">
        <v>797</v>
      </c>
      <c r="ES1" s="411" t="s">
        <v>936</v>
      </c>
      <c r="ET1" s="411" t="s">
        <v>937</v>
      </c>
      <c r="EU1" s="411" t="s">
        <v>938</v>
      </c>
      <c r="EV1" s="411" t="s">
        <v>939</v>
      </c>
    </row>
    <row r="2" spans="1:152" x14ac:dyDescent="0.15">
      <c r="A2" t="str">
        <f>海外居住者のための収入等申告書!D11&amp;海外居住者のための収入等申告書!F11&amp;海外居住者のための収入等申告書!H11</f>
        <v/>
      </c>
      <c r="B2">
        <f ca="1">INDIRECT("計算シート!B"&amp;COLUMN(B1))</f>
        <v>123</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72</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380000</v>
      </c>
      <c r="BL2">
        <f t="shared" ca="1" si="1"/>
        <v>480000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3</v>
      </c>
      <c r="BY2">
        <f t="shared" ca="1" si="1"/>
        <v>2023</v>
      </c>
      <c r="BZ2">
        <f t="shared" ca="1" si="1"/>
        <v>1</v>
      </c>
      <c r="CA2">
        <f t="shared" ca="1" si="1"/>
        <v>44927</v>
      </c>
      <c r="CB2">
        <f t="shared" ca="1" si="1"/>
        <v>2021</v>
      </c>
      <c r="CC2">
        <f t="shared" ca="1" si="1"/>
        <v>2022</v>
      </c>
      <c r="CD2">
        <f t="shared" ca="1" si="1"/>
        <v>2</v>
      </c>
      <c r="CE2">
        <f t="shared" ca="1" si="1"/>
        <v>1</v>
      </c>
      <c r="CF2">
        <f t="shared" ca="1" si="1"/>
        <v>0</v>
      </c>
      <c r="CG2">
        <f t="shared" ca="1" si="1"/>
        <v>0</v>
      </c>
      <c r="CH2">
        <f t="shared" ca="1" si="1"/>
        <v>1</v>
      </c>
      <c r="CI2">
        <f t="shared" ca="1" si="1"/>
        <v>122</v>
      </c>
      <c r="CJ2">
        <f t="shared" ca="1" si="1"/>
        <v>100</v>
      </c>
      <c r="CK2">
        <f t="shared" ca="1" si="1"/>
        <v>0</v>
      </c>
      <c r="CL2">
        <f t="shared" ca="1" si="1"/>
        <v>0</v>
      </c>
      <c r="CM2">
        <f t="shared" ca="1" si="1"/>
        <v>0</v>
      </c>
      <c r="CN2">
        <f ca="1">INDIRECT("計算シート!d"&amp;COLUMN(CM1)-89)</f>
        <v>72</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1</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9"/>
  <sheetViews>
    <sheetView zoomScaleNormal="100" workbookViewId="0">
      <selection activeCell="B25" sqref="B25"/>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89">
        <v>1295000</v>
      </c>
      <c r="C73" s="54" t="s">
        <v>53</v>
      </c>
      <c r="D73" s="54" t="s">
        <v>218</v>
      </c>
    </row>
    <row r="74" spans="1:4" x14ac:dyDescent="0.15">
      <c r="A74" s="54">
        <v>73</v>
      </c>
      <c r="B74" s="389">
        <v>1355000</v>
      </c>
      <c r="C74" s="54" t="s">
        <v>53</v>
      </c>
      <c r="D74" s="54" t="s">
        <v>219</v>
      </c>
    </row>
    <row r="75" spans="1:4" x14ac:dyDescent="0.15">
      <c r="A75" s="54">
        <v>74</v>
      </c>
      <c r="B75" s="54">
        <v>24000000</v>
      </c>
      <c r="C75" s="54" t="s">
        <v>53</v>
      </c>
      <c r="D75" s="54" t="s">
        <v>606</v>
      </c>
    </row>
    <row r="76" spans="1:4" x14ac:dyDescent="0.15">
      <c r="A76" s="54">
        <v>75</v>
      </c>
      <c r="B76" s="54">
        <v>24500000</v>
      </c>
      <c r="C76" s="54" t="s">
        <v>53</v>
      </c>
      <c r="D76" s="54" t="s">
        <v>607</v>
      </c>
    </row>
    <row r="77" spans="1:4" x14ac:dyDescent="0.15">
      <c r="A77" s="54">
        <v>76</v>
      </c>
      <c r="B77" s="54">
        <v>25000000</v>
      </c>
      <c r="C77" s="54" t="s">
        <v>53</v>
      </c>
      <c r="D77" s="54" t="s">
        <v>608</v>
      </c>
    </row>
    <row r="78" spans="1:4" x14ac:dyDescent="0.15">
      <c r="A78" s="54">
        <v>77</v>
      </c>
      <c r="B78" s="392">
        <v>10000000</v>
      </c>
      <c r="C78" s="54" t="s">
        <v>53</v>
      </c>
      <c r="D78" s="54" t="s">
        <v>609</v>
      </c>
    </row>
    <row r="79" spans="1:4" x14ac:dyDescent="0.15">
      <c r="A79" s="54">
        <v>78</v>
      </c>
      <c r="B79" s="392">
        <v>100000</v>
      </c>
      <c r="C79" s="54" t="s">
        <v>53</v>
      </c>
      <c r="D79" s="54" t="s">
        <v>610</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Takato Yui</cp:lastModifiedBy>
  <cp:lastPrinted>2023-11-20T07:37:24Z</cp:lastPrinted>
  <dcterms:created xsi:type="dcterms:W3CDTF">2006-09-16T00:00:00Z</dcterms:created>
  <dcterms:modified xsi:type="dcterms:W3CDTF">2024-03-26T07:03:52Z</dcterms:modified>
</cp:coreProperties>
</file>