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bf2\jasso$\1-①Jasso\2022年度\②定期採用　2022年度\★二次採用\様式集【HP掲載】\"/>
    </mc:Choice>
  </mc:AlternateContent>
  <workbookProtection workbookAlgorithmName="SHA-512" workbookHashValue="YOtWURjU2+HLCbrNiuHTcmTyxg8j/jDXOtwc/1Ca94eyGuhvPs4u0J4vAY1b2LOEKxznoJWTaKyY3FnZTnOi0Q==" workbookSaltValue="CG1k3uJBA4oFt05ZrTC7EA==" workbookSpinCount="100000" lockStructure="1"/>
  <bookViews>
    <workbookView xWindow="0" yWindow="0" windowWidth="19200" windowHeight="11370"/>
  </bookViews>
  <sheets>
    <sheet name="海外居住者のための収入等申告書" sheetId="1" r:id="rId1"/>
    <sheet name="【経済基準の適格認定】記入例と注意事項" sheetId="11" state="hidden" r:id="rId2"/>
    <sheet name="【採用の申込み】記入例と注意事項" sheetId="13" r:id="rId3"/>
    <sheet name="前年レート" sheetId="2" state="hidden" r:id="rId4"/>
    <sheet name="当年レート" sheetId="12" state="hidden" r:id="rId5"/>
    <sheet name="計算シート" sheetId="3" state="hidden" r:id="rId6"/>
    <sheet name="出力用" sheetId="17" state="hidden" r:id="rId7"/>
    <sheet name="T11所得区分" sheetId="5" state="hidden" r:id="rId8"/>
    <sheet name="T12給与所得" sheetId="6" state="hidden" r:id="rId9"/>
    <sheet name="T12給与所得改正後" sheetId="16" state="hidden" r:id="rId10"/>
    <sheet name="T13人的控除" sheetId="7" state="hidden" r:id="rId11"/>
    <sheet name="T15調整控除" sheetId="9" state="hidden" r:id="rId12"/>
    <sheet name="T16税率等" sheetId="10" state="hidden" r:id="rId13"/>
    <sheet name="修正履歴" sheetId="14" state="hidden" r:id="rId14"/>
  </sheets>
  <externalReferences>
    <externalReference r:id="rId15"/>
  </externalReferences>
  <definedNames>
    <definedName name="_xlnm.Print_Area" localSheetId="1">【経済基準の適格認定】記入例と注意事項!$A$1:$V$73</definedName>
    <definedName name="_xlnm.Print_Area" localSheetId="2">【採用の申込み】記入例と注意事項!$A$1:$V$73</definedName>
    <definedName name="_xlnm.Print_Area" localSheetId="0">海外居住者のための収入等申告書!$A$1:$K$73</definedName>
    <definedName name="_xlnm.Print_Area" localSheetId="5">計算シート!$A:$D</definedName>
  </definedNames>
  <calcPr calcId="162913"/>
</workbook>
</file>

<file path=xl/calcChain.xml><?xml version="1.0" encoding="utf-8"?>
<calcChain xmlns="http://schemas.openxmlformats.org/spreadsheetml/2006/main">
  <c r="A2" i="17" l="1"/>
  <c r="C55" i="3"/>
  <c r="DA2" i="17"/>
  <c r="EH2" i="17"/>
  <c r="AD2" i="17"/>
  <c r="AU2" i="17"/>
  <c r="EM2" i="17"/>
  <c r="J2" i="17"/>
  <c r="E2" i="17"/>
  <c r="EJ2" i="17"/>
  <c r="AV2" i="17"/>
  <c r="DE2" i="17"/>
  <c r="M2" i="17"/>
  <c r="ED2" i="17"/>
  <c r="N2" i="17"/>
  <c r="K2" i="17"/>
  <c r="EP2" i="17"/>
  <c r="EO2" i="17"/>
  <c r="L2" i="17"/>
  <c r="EC2" i="17"/>
  <c r="F2" i="17"/>
  <c r="EN2" i="17"/>
  <c r="T2" i="17"/>
  <c r="O2" i="17"/>
  <c r="DF2" i="17"/>
  <c r="DG2" i="17"/>
  <c r="U2" i="17"/>
  <c r="CZ2" i="17"/>
  <c r="R2" i="17"/>
  <c r="EG2" i="17"/>
  <c r="W2" i="17"/>
  <c r="CJ2" i="17"/>
  <c r="EF2" i="17"/>
  <c r="EE2" i="17"/>
  <c r="EI2" i="17"/>
  <c r="I2" i="17"/>
  <c r="A37" i="1" l="1"/>
  <c r="I23" i="1" l="1"/>
  <c r="G11" i="1" l="1"/>
  <c r="E11" i="1"/>
  <c r="B12" i="1"/>
  <c r="B11" i="1"/>
  <c r="B5" i="1"/>
  <c r="D19" i="13" l="1"/>
  <c r="D19" i="11"/>
  <c r="D19" i="1"/>
  <c r="D37" i="3" l="1"/>
  <c r="D36" i="3"/>
  <c r="D35" i="3"/>
  <c r="DU2" i="17"/>
  <c r="DV2" i="17"/>
  <c r="DW2" i="17"/>
  <c r="I2" i="1" l="1"/>
  <c r="C44" i="3" l="1"/>
  <c r="BY2" i="17"/>
  <c r="C48" i="3" l="1"/>
  <c r="C47" i="3"/>
  <c r="CC2" i="17"/>
  <c r="CB2" i="17"/>
  <c r="C43" i="3" l="1"/>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B36" i="11"/>
  <c r="F8" i="3"/>
  <c r="F10" i="3"/>
  <c r="B25" i="3"/>
  <c r="B22" i="3"/>
  <c r="F9" i="3"/>
  <c r="D22" i="3"/>
  <c r="C22" i="3"/>
  <c r="C45" i="3"/>
  <c r="CE2" i="17"/>
  <c r="DH2" i="17"/>
  <c r="V2" i="17"/>
  <c r="BC2" i="17"/>
  <c r="Y2" i="17"/>
  <c r="BZ2" i="17"/>
  <c r="C46" i="3" l="1"/>
  <c r="B15" i="1"/>
  <c r="C54" i="3"/>
  <c r="C53" i="3"/>
  <c r="L46" i="11"/>
  <c r="B64" i="1"/>
  <c r="L46" i="13"/>
  <c r="B65" i="1"/>
  <c r="B2" i="3"/>
  <c r="C49" i="3"/>
  <c r="B16" i="1"/>
  <c r="C2" i="3"/>
  <c r="D2" i="3"/>
  <c r="CI2" i="17"/>
  <c r="CA2" i="17"/>
  <c r="CD2" i="17"/>
  <c r="AI2" i="17"/>
  <c r="CH2" i="17"/>
  <c r="B2" i="17"/>
  <c r="CN2" i="17"/>
  <c r="D26" i="3" l="1"/>
  <c r="B26" i="3"/>
  <c r="C56" i="3"/>
  <c r="B16" i="13"/>
  <c r="B15" i="13"/>
  <c r="B16" i="11"/>
  <c r="B15" i="11"/>
  <c r="D5" i="3"/>
  <c r="D3" i="3"/>
  <c r="D7" i="3"/>
  <c r="B7" i="3"/>
  <c r="C5" i="3"/>
  <c r="C7" i="3"/>
  <c r="C3" i="3"/>
  <c r="B3" i="3"/>
  <c r="I25" i="1"/>
  <c r="CK2" i="17"/>
  <c r="Z2" i="17"/>
  <c r="CO2" i="17"/>
  <c r="DL2" i="17"/>
  <c r="C2" i="17"/>
  <c r="CS2" i="17"/>
  <c r="G2" i="17"/>
  <c r="AN2" i="17"/>
  <c r="AL2" i="17"/>
  <c r="AJ2" i="17"/>
  <c r="CQ2" i="17"/>
  <c r="B4" i="3" l="1"/>
  <c r="C6" i="3"/>
  <c r="D6" i="3"/>
  <c r="I26" i="1"/>
  <c r="CR2" i="17"/>
  <c r="AM2" i="17"/>
  <c r="D2" i="17"/>
  <c r="I24" i="1" l="1"/>
  <c r="H29" i="1" l="1"/>
  <c r="H46" i="1" s="1"/>
  <c r="D42" i="3"/>
  <c r="D1" i="3"/>
  <c r="C9" i="3"/>
  <c r="EB2" i="17"/>
  <c r="AP2" i="17"/>
  <c r="D9" i="3" l="1"/>
  <c r="H73" i="1"/>
  <c r="D41" i="3"/>
  <c r="H38" i="1"/>
  <c r="H30" i="1"/>
  <c r="B17" i="3"/>
  <c r="B16" i="3"/>
  <c r="E27" i="1"/>
  <c r="E25" i="1"/>
  <c r="EA2" i="17"/>
  <c r="Q2" i="17"/>
  <c r="CU2" i="17"/>
  <c r="P2" i="17"/>
  <c r="H72" i="1" l="1"/>
  <c r="B24" i="3"/>
  <c r="B8" i="3"/>
  <c r="C42" i="3"/>
  <c r="I42" i="1"/>
  <c r="I44" i="1"/>
  <c r="E44" i="1"/>
  <c r="E42" i="1"/>
  <c r="V14" i="2"/>
  <c r="D15" i="3"/>
  <c r="D14" i="3"/>
  <c r="C15" i="3"/>
  <c r="C14" i="3"/>
  <c r="BW2" i="17"/>
  <c r="H2" i="17"/>
  <c r="X2" i="17"/>
  <c r="B34" i="3" l="1"/>
  <c r="C37" i="3"/>
  <c r="C36" i="3"/>
  <c r="C35" i="3"/>
  <c r="B19" i="3"/>
  <c r="D73" i="1"/>
  <c r="D24" i="3"/>
  <c r="D13" i="3"/>
  <c r="I40" i="1"/>
  <c r="E40" i="1"/>
  <c r="BQ2" i="17"/>
  <c r="BP2" i="17"/>
  <c r="BR2" i="17"/>
  <c r="DJ2" i="17"/>
  <c r="AH2" i="17"/>
  <c r="CY2" i="17"/>
  <c r="S2" i="17"/>
  <c r="B31" i="3" l="1"/>
  <c r="C57" i="3"/>
  <c r="D57" i="3"/>
  <c r="D70" i="1"/>
  <c r="B27" i="3"/>
  <c r="C24" i="3"/>
  <c r="D38" i="3"/>
  <c r="D40" i="3"/>
  <c r="C38" i="3"/>
  <c r="C40" i="3"/>
  <c r="C13" i="3"/>
  <c r="D12" i="3"/>
  <c r="C12" i="3"/>
  <c r="BU2" i="17"/>
  <c r="EQ2" i="17"/>
  <c r="BS2" i="17"/>
  <c r="AT2" i="17"/>
  <c r="BE2" i="17"/>
  <c r="AA2" i="17"/>
  <c r="CX2" i="17"/>
  <c r="DX2" i="17"/>
  <c r="AS2" i="17"/>
  <c r="AE2" i="17"/>
  <c r="DZ2" i="17"/>
  <c r="CL2" i="17"/>
  <c r="C39" i="3" l="1"/>
  <c r="D39" i="3"/>
  <c r="B28" i="3"/>
  <c r="B29" i="3" s="1"/>
  <c r="D51" i="3"/>
  <c r="C51" i="3"/>
  <c r="B32" i="3"/>
  <c r="C41" i="3"/>
  <c r="AB2" i="17"/>
  <c r="CF2" i="17"/>
  <c r="DY2" i="17"/>
  <c r="AF2" i="17"/>
  <c r="BV2" i="17"/>
  <c r="AC2" i="17"/>
  <c r="BT2" i="17"/>
  <c r="EK2" i="17"/>
  <c r="D4" i="3" l="1"/>
  <c r="D72" i="1"/>
  <c r="C4" i="3"/>
  <c r="B33" i="3"/>
  <c r="CP2" i="17"/>
  <c r="AK2" i="17"/>
  <c r="AG2" i="17"/>
  <c r="D52" i="3" l="1"/>
  <c r="D8" i="3" s="1"/>
  <c r="C52" i="3"/>
  <c r="EL2" i="17"/>
  <c r="CG2" i="17"/>
  <c r="CT2" i="17"/>
  <c r="C8" i="3" l="1"/>
  <c r="C20" i="3"/>
  <c r="C21" i="3"/>
  <c r="D10" i="3"/>
  <c r="C10" i="3"/>
  <c r="BA2" i="17"/>
  <c r="AO2" i="17"/>
  <c r="AQ2" i="17"/>
  <c r="BB2" i="17"/>
  <c r="CV2" i="17"/>
  <c r="C17" i="3" l="1"/>
  <c r="C19" i="3"/>
  <c r="D18" i="3"/>
  <c r="C26" i="3"/>
  <c r="C18" i="3"/>
  <c r="C23" i="3"/>
  <c r="C16" i="3"/>
  <c r="D30" i="3"/>
  <c r="D11" i="3"/>
  <c r="C30" i="3"/>
  <c r="D17" i="3"/>
  <c r="D16" i="3"/>
  <c r="D23" i="3"/>
  <c r="C11" i="3"/>
  <c r="AX2" i="17"/>
  <c r="DP2" i="17"/>
  <c r="BG2" i="17"/>
  <c r="AY2" i="17"/>
  <c r="DD2" i="17"/>
  <c r="AR2" i="17"/>
  <c r="DI2" i="17"/>
  <c r="BK2" i="17"/>
  <c r="AZ2" i="17"/>
  <c r="BD2" i="17"/>
  <c r="CW2" i="17"/>
  <c r="AW2" i="17"/>
  <c r="DC2" i="17"/>
  <c r="DB2" i="17"/>
  <c r="D25" i="3" l="1"/>
  <c r="C25" i="3"/>
  <c r="C31" i="3"/>
  <c r="D31" i="3"/>
  <c r="C27" i="3"/>
  <c r="D27" i="3"/>
  <c r="DK2" i="17"/>
  <c r="BL2" i="17"/>
  <c r="BH2" i="17"/>
  <c r="DM2" i="17"/>
  <c r="DQ2" i="17"/>
  <c r="BF2" i="17"/>
  <c r="D28" i="3" l="1"/>
  <c r="C28" i="3"/>
  <c r="D34" i="3"/>
  <c r="C32" i="3"/>
  <c r="D32" i="3"/>
  <c r="BM2" i="17"/>
  <c r="DT2" i="17"/>
  <c r="BI2" i="17"/>
  <c r="DN2" i="17"/>
  <c r="DR2" i="17"/>
  <c r="C29" i="3" l="1"/>
  <c r="D58" i="3"/>
  <c r="D29" i="3"/>
  <c r="DO2" i="17"/>
  <c r="ER2" i="17"/>
  <c r="BJ2" i="17"/>
  <c r="H71" i="1" l="1"/>
  <c r="D33" i="3"/>
  <c r="C33" i="3"/>
  <c r="BN2" i="17"/>
  <c r="DS2" i="17"/>
  <c r="C34" i="3" l="1"/>
  <c r="BO2" i="17"/>
  <c r="C58" i="3" l="1"/>
  <c r="CM2" i="17"/>
  <c r="D71" i="1" l="1"/>
</calcChain>
</file>

<file path=xl/sharedStrings.xml><?xml version="1.0" encoding="utf-8"?>
<sst xmlns="http://schemas.openxmlformats.org/spreadsheetml/2006/main" count="1918" uniqueCount="880">
  <si>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</si>
  <si>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</si>
  <si>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</si>
  <si>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</si>
  <si>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</si>
  <si>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</si>
  <si>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</si>
  <si>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</si>
  <si>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</si>
  <si>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</si>
  <si>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</si>
  <si>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</si>
  <si>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</si>
  <si>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</si>
  <si>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</si>
  <si>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</si>
  <si>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</si>
  <si>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</si>
  <si>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</si>
  <si>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</si>
  <si>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</si>
  <si>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</si>
  <si>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</si>
  <si>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</si>
  <si>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</si>
  <si>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</si>
  <si>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</si>
  <si>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</si>
  <si>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</si>
  <si>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</si>
  <si>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</si>
  <si>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</si>
  <si>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</si>
  <si>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</si>
  <si>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</si>
  <si>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</si>
  <si>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</si>
  <si>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</si>
  <si>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</si>
  <si>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</si>
  <si>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</si>
  <si>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</si>
  <si>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</si>
  <si>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</si>
  <si>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</si>
  <si>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</si>
  <si>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</si>
  <si>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</si>
  <si>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</si>
  <si>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</si>
  <si>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</si>
  <si>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</si>
  <si>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</si>
  <si>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</si>
  <si>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</si>
  <si>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</si>
  <si>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</si>
  <si>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</si>
  <si>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</si>
  <si>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</si>
  <si>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</si>
  <si>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</si>
  <si>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</si>
  <si>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</si>
  <si>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</si>
  <si>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</si>
  <si>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</si>
  <si>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</si>
  <si>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</si>
  <si>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</si>
  <si>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</si>
  <si>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</si>
  <si>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</si>
  <si>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</si>
  <si>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</si>
  <si>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</si>
  <si>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</si>
  <si>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</si>
  <si>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</si>
  <si>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</si>
  <si>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</si>
  <si>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</si>
  <si>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</si>
  <si>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</si>
  <si>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</si>
  <si>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</si>
  <si>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</si>
  <si>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</si>
  <si>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</si>
  <si>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</si>
  <si>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</si>
  <si>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</si>
  <si>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</si>
  <si>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</si>
  <si>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</si>
  <si>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</si>
  <si>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</si>
  <si>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</si>
  <si>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</si>
  <si>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</si>
  <si>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</si>
  <si>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</si>
  <si>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</si>
  <si>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</si>
  <si>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</si>
  <si>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</si>
  <si>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</si>
  <si>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</si>
  <si>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</si>
  <si>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</si>
  <si>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</si>
  <si>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</si>
  <si>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</si>
  <si>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</si>
  <si>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</si>
  <si>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</si>
  <si>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</si>
  <si>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</si>
  <si>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</si>
  <si>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</si>
  <si>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</si>
  <si>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</si>
  <si>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</si>
  <si>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</si>
  <si>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</si>
  <si>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</si>
  <si>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</si>
  <si>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</si>
  <si>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</si>
  <si>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</si>
  <si>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</si>
  <si>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</si>
  <si>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</si>
  <si>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</si>
  <si>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</si>
  <si>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</si>
  <si>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</si>
  <si>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</si>
  <si>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</si>
  <si>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</si>
  <si>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</si>
  <si>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</si>
  <si>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</si>
  <si>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</si>
  <si>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</si>
  <si>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</si>
  <si>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</si>
  <si>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</si>
  <si>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</si>
  <si>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</si>
  <si>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</si>
  <si>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</si>
  <si>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</si>
  <si>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</si>
  <si>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</si>
  <si>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</si>
  <si>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</si>
  <si>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</si>
  <si>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</si>
  <si>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</si>
  <si>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</si>
  <si>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</si>
  <si>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</si>
  <si>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</si>
  <si>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</si>
  <si>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</si>
  <si>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</si>
  <si>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</si>
  <si>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</si>
  <si>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</si>
  <si>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</si>
  <si>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</si>
  <si>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</si>
  <si>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</si>
  <si>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</si>
  <si>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</si>
  <si>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</si>
  <si>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</si>
  <si>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</si>
  <si>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</si>
  <si>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</si>
  <si>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</si>
  <si>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</si>
  <si>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</si>
  <si>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</si>
  <si>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</si>
  <si>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</si>
  <si>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</si>
  <si>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</si>
  <si>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</si>
  <si>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</si>
  <si>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</si>
  <si>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</si>
  <si>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</si>
  <si>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</si>
  <si>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</si>
  <si>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</si>
  <si>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</si>
  <si>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</si>
  <si>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</si>
  <si>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</si>
  <si>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</si>
  <si>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</si>
  <si>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</si>
  <si>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</si>
  <si>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</si>
  <si>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</si>
  <si>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</si>
  <si>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</si>
  <si>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</si>
  <si>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</si>
  <si>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</si>
  <si>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</si>
  <si>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</si>
  <si>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</si>
  <si>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</si>
  <si>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</si>
  <si>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</si>
  <si>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</si>
  <si>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</si>
  <si>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</si>
  <si>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</si>
  <si>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</si>
  <si>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</si>
  <si>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</si>
  <si>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</si>
  <si>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</si>
  <si>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</si>
  <si>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</si>
  <si>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</si>
  <si>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</si>
  <si>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</si>
  <si>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</si>
  <si>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</si>
  <si>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</si>
  <si>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</si>
  <si>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</si>
  <si>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</si>
  <si>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</si>
  <si>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</si>
  <si>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</si>
  <si>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</si>
  <si>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</si>
  <si>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</si>
  <si>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</si>
  <si>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</si>
  <si>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</si>
  <si>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</si>
  <si>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</si>
  <si>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</si>
  <si>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</si>
  <si>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</si>
  <si>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</si>
  <si>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</si>
  <si>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</si>
  <si>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</si>
  <si>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</si>
  <si>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</si>
  <si>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</si>
  <si>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</si>
  <si>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</si>
  <si>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</si>
  <si>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</si>
  <si>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</si>
  <si>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</si>
  <si>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</si>
  <si>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</si>
  <si>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</si>
  <si>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</si>
  <si>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</si>
  <si>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</si>
  <si>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</si>
  <si>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</si>
  <si>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</si>
  <si>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</si>
  <si>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</si>
  <si>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</si>
  <si>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</si>
  <si>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</si>
  <si>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</si>
  <si>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</si>
  <si>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</si>
  <si>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</si>
  <si>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</si>
  <si>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</si>
  <si>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</si>
  <si>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</si>
  <si>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</si>
  <si>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</si>
  <si>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</si>
  <si>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</si>
  <si>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</si>
  <si>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</si>
  <si>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</si>
  <si>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</si>
  <si>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</si>
  <si>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</si>
  <si>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</si>
  <si>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</si>
  <si>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</si>
  <si>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</si>
  <si>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</si>
  <si>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</si>
  <si>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</si>
  <si>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</si>
  <si>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</si>
  <si>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</si>
  <si>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</si>
  <si>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</si>
  <si>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</si>
  <si>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</si>
  <si>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</si>
  <si>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</si>
  <si>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</si>
  <si>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</si>
  <si>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</si>
  <si>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</si>
  <si>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</si>
  <si>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</si>
  <si>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</si>
  <si>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</si>
  <si>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</si>
  <si>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</si>
  <si>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</si>
  <si>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</si>
  <si>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</si>
  <si>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</si>
  <si>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</si>
  <si>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</si>
  <si>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</si>
  <si>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</si>
  <si>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</si>
  <si>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</si>
  <si>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</si>
  <si>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</si>
  <si>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</si>
  <si>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</si>
  <si>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</si>
  <si>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</si>
  <si>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</si>
  <si>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</si>
  <si>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</si>
  <si>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</si>
  <si>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</si>
  <si>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</si>
  <si>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</si>
  <si>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</si>
  <si>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</si>
  <si>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</si>
  <si>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</si>
  <si>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</si>
  <si>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</si>
  <si>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</si>
  <si>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</si>
  <si>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</si>
  <si>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</si>
  <si>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</si>
  <si>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</si>
  <si>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</si>
  <si>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</si>
  <si>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</si>
  <si>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</si>
  <si>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</si>
  <si>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</si>
  <si>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</si>
  <si>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</si>
  <si>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</si>
  <si>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</si>
  <si>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</si>
  <si>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</si>
  <si>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</si>
  <si>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</si>
  <si>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</si>
  <si>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</si>
  <si>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</si>
  <si>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</si>
  <si>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</si>
  <si>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</si>
  <si>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</si>
  <si>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</si>
  <si>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</si>
  <si>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</si>
  <si>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</si>
  <si>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</si>
  <si>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</si>
  <si>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</si>
  <si>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</si>
  <si>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</si>
  <si>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</si>
  <si>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</si>
  <si>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</si>
  <si>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</si>
  <si>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</si>
  <si>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</si>
  <si>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</si>
  <si>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</si>
  <si>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</si>
  <si>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</si>
  <si>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</si>
  <si>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</si>
  <si>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</si>
  <si>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</si>
  <si>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</si>
  <si>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</si>
  <si>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</si>
  <si>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</si>
  <si>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</si>
  <si>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</si>
  <si>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</si>
  <si>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</si>
  <si>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</si>
  <si>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</si>
  <si>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</si>
  <si>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</si>
  <si>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</si>
  <si>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</si>
  <si>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</si>
  <si>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</si>
  <si>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</si>
  <si>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</si>
  <si>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</si>
  <si>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</si>
  <si>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奨学生本人に収入（所得）がありますか</t>
    <rPh sb="0" eb="3">
      <t>ショウガクセイ</t>
    </rPh>
    <rPh sb="3" eb="5">
      <t>ホンニン</t>
    </rPh>
    <rPh sb="6" eb="8">
      <t>シュウニュウ</t>
    </rPh>
    <rPh sb="9" eb="11">
      <t>ショトク</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</si>
  <si>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</si>
  <si>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</si>
  <si>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</si>
  <si>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</si>
  <si>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</si>
  <si>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</si>
  <si>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</si>
  <si>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</si>
  <si>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</si>
  <si>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</si>
  <si>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</si>
  <si>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</si>
  <si>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</si>
  <si>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</si>
  <si>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</si>
  <si>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</si>
  <si>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</si>
  <si>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</si>
  <si>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</si>
  <si>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</si>
  <si>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</si>
  <si>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</si>
  <si>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</si>
  <si>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</si>
  <si>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</si>
  <si>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</si>
  <si>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</si>
  <si>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</si>
  <si>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</si>
  <si>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</si>
  <si>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</si>
  <si>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</si>
  <si>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</si>
  <si>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</si>
  <si>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</si>
  <si>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</si>
  <si>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</si>
  <si>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</si>
  <si>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</si>
  <si>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</si>
  <si>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</si>
  <si>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</si>
  <si>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</si>
  <si>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</si>
  <si>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</si>
  <si>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</si>
  <si>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</si>
  <si>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</si>
  <si>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</si>
  <si>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</si>
  <si>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</si>
  <si>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</si>
  <si>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</si>
  <si>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</si>
  <si>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</si>
  <si>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</si>
  <si>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</si>
  <si>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</si>
  <si>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</si>
  <si>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</si>
  <si>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</si>
  <si>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</si>
  <si>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</si>
  <si>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</si>
  <si>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</si>
  <si>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</si>
  <si>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</si>
  <si>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</si>
  <si>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</si>
  <si>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</si>
  <si>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</si>
  <si>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</si>
  <si>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</si>
  <si>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</si>
  <si>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</si>
  <si>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</si>
  <si>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</si>
  <si>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Kikou Chihi</t>
    <phoneticPr fontId="2"/>
  </si>
  <si>
    <t>　　　　https://www.nta.go.jp/taxes/shiraberu/taxanswer/shotoku/1160.htm　(国税庁HP)</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</si>
  <si>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</si>
  <si>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</si>
  <si>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</si>
  <si>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</si>
  <si>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</si>
  <si>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</si>
  <si>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</si>
  <si>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</si>
  <si>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</si>
  <si>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</si>
  <si>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</si>
  <si>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</si>
  <si>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</si>
  <si>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</si>
  <si>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</si>
  <si>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</si>
  <si>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</si>
  <si>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</si>
  <si>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</si>
  <si>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</si>
  <si>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</si>
  <si>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</si>
  <si>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</si>
  <si>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</si>
  <si>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</si>
  <si>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</si>
  <si>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</si>
  <si>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</si>
  <si>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</si>
  <si>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</si>
  <si>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</si>
  <si>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</si>
  <si>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</si>
  <si>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</si>
  <si>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</si>
  <si>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</si>
  <si>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</si>
  <si>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</si>
  <si>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</si>
  <si>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</si>
  <si>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</si>
  <si>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</si>
  <si>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</si>
  <si>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</si>
  <si>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</si>
  <si>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</si>
  <si>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</si>
  <si>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</si>
  <si>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</si>
  <si>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</si>
  <si>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</si>
  <si>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</si>
  <si>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</si>
  <si>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</si>
  <si>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</si>
  <si>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</si>
  <si>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</si>
  <si>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</si>
  <si>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</si>
  <si>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</si>
  <si>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</si>
  <si>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</si>
  <si>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</si>
  <si>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</si>
  <si>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</si>
  <si>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</si>
  <si>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</si>
  <si>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</si>
  <si>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</si>
  <si>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</si>
  <si>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</si>
  <si>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</si>
  <si>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</si>
  <si>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</si>
  <si>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</si>
  <si>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</si>
  <si>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</si>
  <si>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</si>
  <si>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</si>
  <si>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</si>
  <si>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</si>
  <si>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</si>
  <si>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</si>
  <si>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</si>
  <si>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</si>
  <si>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</si>
  <si>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報告省令レート（令和３年１月分）</t>
    <rPh sb="8" eb="10">
      <t>レイワ</t>
    </rPh>
    <rPh sb="11" eb="12">
      <t>ネン</t>
    </rPh>
    <rPh sb="13" eb="14">
      <t>ガツ</t>
    </rPh>
    <phoneticPr fontId="4"/>
  </si>
  <si>
    <t xml:space="preserve"> [令和３年１月中において適用]</t>
    <rPh sb="2" eb="4">
      <t>レイワ</t>
    </rPh>
    <rPh sb="8" eb="9">
      <t>チュウ</t>
    </rPh>
    <phoneticPr fontId="4"/>
  </si>
  <si>
    <t>（令和2年11月中における実勢相場の平均値）</t>
    <rPh sb="1" eb="3">
      <t>レイワ</t>
    </rPh>
    <phoneticPr fontId="4"/>
  </si>
  <si>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</si>
  <si>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</si>
  <si>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</si>
  <si>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</si>
  <si>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</si>
  <si>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</si>
  <si>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</si>
  <si>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</si>
  <si>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</si>
  <si>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</si>
  <si>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</si>
  <si>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</si>
  <si>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</si>
  <si>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</si>
  <si>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</si>
  <si>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</si>
  <si>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</si>
  <si>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</si>
  <si>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</si>
  <si>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</si>
  <si>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</si>
  <si>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</si>
  <si>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</si>
  <si>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</si>
  <si>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</si>
  <si>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</si>
  <si>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</si>
  <si>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寡婦（夫）でない</t>
  </si>
  <si>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</si>
  <si>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</si>
  <si>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</si>
  <si>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</si>
  <si>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</si>
  <si>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</si>
  <si>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</si>
  <si>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</si>
  <si>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</si>
  <si>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</si>
  <si>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</si>
  <si>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</si>
  <si>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</si>
  <si>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</si>
  <si>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</si>
  <si>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</si>
  <si>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</si>
  <si>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08" eb="110">
      <t>クブン</t>
    </rPh>
    <rPh sb="111" eb="112">
      <t>モト</t>
    </rPh>
    <rPh sb="114" eb="116">
      <t>シンコク</t>
    </rPh>
    <rPh sb="123" eb="124">
      <t>ガツ</t>
    </rPh>
    <rPh sb="125" eb="126">
      <t>ニチ</t>
    </rPh>
    <rPh sb="129" eb="130">
      <t>ガツ</t>
    </rPh>
    <rPh sb="132" eb="133">
      <t>ニチ</t>
    </rPh>
    <rPh sb="134" eb="135">
      <t>エ</t>
    </rPh>
    <rPh sb="136" eb="138">
      <t>シュウニュウ</t>
    </rPh>
    <rPh sb="139" eb="141">
      <t>ショトク</t>
    </rPh>
    <rPh sb="143" eb="145">
      <t>ガッサン</t>
    </rPh>
    <rPh sb="145" eb="146">
      <t>ガク</t>
    </rPh>
    <rPh sb="158" eb="160">
      <t>ゲツブン</t>
    </rPh>
    <rPh sb="161" eb="163">
      <t>テイシュツ</t>
    </rPh>
    <rPh sb="164" eb="166">
      <t>コンナン</t>
    </rPh>
    <rPh sb="167" eb="169">
      <t>バアイ</t>
    </rPh>
    <rPh sb="173" eb="174">
      <t>ガツ</t>
    </rPh>
    <rPh sb="177" eb="179">
      <t>ガツブン</t>
    </rPh>
    <rPh sb="180" eb="182">
      <t>シュウニュウ</t>
    </rPh>
    <rPh sb="183" eb="185">
      <t>ショトク</t>
    </rPh>
    <rPh sb="187" eb="189">
      <t>ガッサン</t>
    </rPh>
    <rPh sb="189" eb="190">
      <t>ガク</t>
    </rPh>
    <rPh sb="192" eb="193">
      <t>バイ</t>
    </rPh>
    <rPh sb="194" eb="196">
      <t>ニュウリョク</t>
    </rPh>
    <rPh sb="200" eb="201">
      <t>ガツ</t>
    </rPh>
    <rPh sb="204" eb="206">
      <t>ガツブン</t>
    </rPh>
    <rPh sb="220" eb="221">
      <t>カ</t>
    </rPh>
    <rPh sb="233" eb="235">
      <t>キュウヨ</t>
    </rPh>
    <rPh sb="238" eb="240">
      <t>ショトク</t>
    </rPh>
    <rPh sb="241" eb="243">
      <t>ジギョウ</t>
    </rPh>
    <rPh sb="243" eb="245">
      <t>ショトク</t>
    </rPh>
    <rPh sb="246" eb="249">
      <t>フドウサン</t>
    </rPh>
    <rPh sb="249" eb="251">
      <t>ショトク</t>
    </rPh>
    <rPh sb="252" eb="254">
      <t>ジョウト</t>
    </rPh>
    <rPh sb="254" eb="256">
      <t>ショトク</t>
    </rPh>
    <rPh sb="257" eb="259">
      <t>ハイトウ</t>
    </rPh>
    <rPh sb="259" eb="261">
      <t>ショトク</t>
    </rPh>
    <rPh sb="261" eb="262">
      <t>トウ</t>
    </rPh>
    <rPh sb="264" eb="266">
      <t>キュウヨ</t>
    </rPh>
    <rPh sb="266" eb="268">
      <t>シュウニュウ</t>
    </rPh>
    <rPh sb="268" eb="270">
      <t>キンガク</t>
    </rPh>
    <rPh sb="271" eb="272">
      <t>フク</t>
    </rPh>
    <rPh sb="286" eb="288">
      <t>コウテキ</t>
    </rPh>
    <rPh sb="288" eb="290">
      <t>ネンキン</t>
    </rPh>
    <rPh sb="290" eb="291">
      <t>トウ</t>
    </rPh>
    <rPh sb="293" eb="295">
      <t>ロウレイ</t>
    </rPh>
    <rPh sb="295" eb="297">
      <t>ネンキン</t>
    </rPh>
    <rPh sb="298" eb="299">
      <t>サ</t>
    </rPh>
    <rPh sb="303" eb="305">
      <t>イゾク</t>
    </rPh>
    <rPh sb="305" eb="307">
      <t>ネンキン</t>
    </rPh>
    <rPh sb="308" eb="310">
      <t>ショウガイ</t>
    </rPh>
    <rPh sb="310" eb="312">
      <t>ネンキン</t>
    </rPh>
    <rPh sb="316" eb="318">
      <t>セイド</t>
    </rPh>
    <rPh sb="319" eb="320">
      <t>フク</t>
    </rPh>
    <rPh sb="328" eb="330">
      <t>キュウヨ</t>
    </rPh>
    <rPh sb="331" eb="333">
      <t>ネンキン</t>
    </rPh>
    <rPh sb="333" eb="335">
      <t>イガイ</t>
    </rPh>
    <rPh sb="336" eb="338">
      <t>ショトク</t>
    </rPh>
    <rPh sb="342" eb="344">
      <t>ジギョウ</t>
    </rPh>
    <rPh sb="344" eb="346">
      <t>ショトク</t>
    </rPh>
    <rPh sb="347" eb="350">
      <t>フドウサン</t>
    </rPh>
    <rPh sb="350" eb="352">
      <t>ショトク</t>
    </rPh>
    <rPh sb="353" eb="355">
      <t>ジョウト</t>
    </rPh>
    <rPh sb="355" eb="357">
      <t>ショトク</t>
    </rPh>
    <rPh sb="358" eb="360">
      <t>ハイトウ</t>
    </rPh>
    <rPh sb="360" eb="362">
      <t>ショトク</t>
    </rPh>
    <rPh sb="362" eb="363">
      <t>トウ</t>
    </rPh>
    <rPh sb="364" eb="366">
      <t>ゴウケイ</t>
    </rPh>
    <rPh sb="366" eb="367">
      <t>ガク</t>
    </rPh>
    <rPh sb="368" eb="370">
      <t>ニュウリョク</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</si>
  <si>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</si>
  <si>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</si>
  <si>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</si>
  <si>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</si>
  <si>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</si>
  <si>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</si>
  <si>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</si>
  <si>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</si>
  <si>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</si>
  <si>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</si>
  <si>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</si>
  <si>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</si>
  <si>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</si>
  <si>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</si>
  <si>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</si>
  <si>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</si>
  <si>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</si>
  <si>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</si>
  <si>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</si>
  <si>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</si>
  <si>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</si>
  <si>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</si>
  <si>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</si>
  <si>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</si>
  <si>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</si>
  <si>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</si>
  <si>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</si>
  <si>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</si>
  <si>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</si>
  <si>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</si>
  <si>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</si>
  <si>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</si>
  <si>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</si>
  <si>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</si>
  <si>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</si>
  <si>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</si>
  <si>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本人_寡夫控除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</si>
  <si>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</si>
  <si>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</si>
  <si>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</si>
  <si>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</si>
  <si>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</si>
  <si>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</si>
  <si>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</si>
  <si>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</si>
  <si>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</si>
  <si>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</si>
  <si>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</si>
  <si>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</si>
  <si>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</si>
  <si>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</si>
  <si>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</si>
  <si>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</si>
  <si>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</si>
  <si>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</si>
  <si>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</si>
  <si>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</si>
  <si>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</si>
  <si>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</si>
  <si>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</si>
  <si>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</si>
  <si>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</si>
  <si>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</si>
  <si>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</si>
  <si>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</si>
  <si>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</si>
  <si>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</si>
  <si>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</si>
  <si>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</si>
  <si>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維持者１_寡夫控除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</si>
  <si>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</si>
  <si>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</si>
  <si>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</si>
  <si>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</si>
  <si>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</si>
  <si>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</si>
  <si>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</si>
  <si>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</si>
  <si>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</si>
  <si>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</si>
  <si>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</si>
  <si>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</si>
  <si>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</si>
  <si>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</si>
  <si>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</si>
  <si>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</si>
  <si>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</si>
  <si>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</si>
  <si>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</si>
  <si>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</si>
  <si>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</si>
  <si>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</si>
  <si>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</si>
  <si>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</si>
  <si>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</si>
  <si>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</si>
  <si>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</si>
  <si>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</si>
  <si>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</si>
  <si>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</si>
  <si>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</si>
  <si>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</si>
  <si>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</si>
  <si>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</si>
  <si>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</si>
  <si>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</si>
  <si>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</si>
  <si>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</si>
  <si>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</si>
  <si>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</si>
  <si>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</si>
  <si>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</si>
  <si>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</si>
  <si>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</si>
  <si>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</si>
  <si>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</si>
  <si>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</si>
  <si>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</si>
  <si>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</si>
  <si>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</si>
  <si>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</si>
  <si>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</si>
  <si>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</si>
  <si>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</si>
  <si>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</si>
  <si>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</si>
  <si>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維持者２_寡夫控除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</si>
  <si>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</si>
  <si>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</si>
  <si>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</si>
  <si>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</si>
  <si>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</si>
  <si>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</si>
  <si>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</si>
  <si>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</si>
  <si>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</si>
  <si>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</si>
  <si>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</si>
  <si>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</si>
  <si>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</si>
  <si>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</si>
  <si>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</si>
  <si>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</si>
  <si>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</si>
  <si>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</si>
  <si>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</si>
  <si>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</si>
  <si>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</si>
  <si>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</si>
  <si>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</si>
  <si>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</si>
  <si>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</si>
  <si>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</si>
  <si>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</si>
  <si>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</si>
  <si>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</si>
  <si>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</si>
  <si>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</si>
  <si>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</si>
  <si>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</si>
  <si>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</si>
  <si>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</si>
  <si>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</si>
  <si>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</si>
  <si>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</si>
  <si>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</si>
  <si>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</si>
  <si>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</si>
  <si>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</si>
  <si>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1.10</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</si>
  <si>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</si>
  <si>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</si>
  <si>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</si>
  <si>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</si>
  <si>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</si>
  <si>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</si>
  <si>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</si>
  <si>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</si>
  <si>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</si>
  <si>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</si>
  <si>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</si>
  <si>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</si>
  <si>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</si>
  <si>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</si>
  <si>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</si>
  <si>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</si>
  <si>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</si>
  <si>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</si>
  <si>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3.50</t>
  </si>
  <si>
    <t>新台湾ドル (TWD)</t>
  </si>
  <si>
    <t>スリランカ・ルピー (LKR)</t>
  </si>
  <si>
    <t>セーシェル・ルピー (SCR)</t>
  </si>
  <si>
    <t>タイ・バーツ (THB)</t>
  </si>
  <si>
    <t>0.990</t>
  </si>
  <si>
    <t>タヒチ・パシフィックフラン (XPF)</t>
  </si>
  <si>
    <t>チェコ・コルナ (CZK)</t>
  </si>
  <si>
    <t>チリ・ペソ (CLP)</t>
  </si>
  <si>
    <t>デンマーク・クローネ (DKK)</t>
  </si>
  <si>
    <t>トリニダード・トバゴ・ドル (TTD)</t>
  </si>
  <si>
    <t>トルコ・リラ (TRY)</t>
  </si>
  <si>
    <t>0.00260</t>
  </si>
  <si>
    <t>ナイジェリア・ナイラ (NGN)</t>
  </si>
  <si>
    <t>ニュージーランド・ドル (NZD)</t>
  </si>
  <si>
    <t>0.110</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</si>
  <si>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</si>
  <si>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</si>
  <si>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</si>
  <si>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</si>
  <si>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</si>
  <si>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</si>
  <si>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</si>
  <si>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</si>
  <si>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</si>
  <si>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</si>
  <si>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</si>
  <si>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</si>
  <si>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</si>
  <si>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</si>
  <si>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</si>
  <si>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</si>
  <si>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</si>
  <si>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</si>
  <si>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</si>
  <si>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0.0490</t>
  </si>
  <si>
    <t>メキシコ・ペソ (MXN)</t>
  </si>
  <si>
    <t>0.0250</t>
  </si>
  <si>
    <t>モーリシャス・ルピー (MUR)</t>
  </si>
  <si>
    <t>モロッコ・ディルハム (MAD)</t>
  </si>
  <si>
    <t>ヨルダン・ディナール (JOD)</t>
  </si>
  <si>
    <t>ラオス・キップ (LAK)</t>
  </si>
  <si>
    <t>ルーマニア・レイ (RON)</t>
  </si>
  <si>
    <t>ルワンダ・フラン (RWF)</t>
  </si>
  <si>
    <t>0.0130</t>
  </si>
  <si>
    <t>ロシア・ルーブル (RUB)</t>
  </si>
  <si>
    <t>報告省令レート（令和４年１月分）</t>
    <rPh sb="8" eb="10">
      <t>レイワ</t>
    </rPh>
    <rPh sb="11" eb="12">
      <t>ネン</t>
    </rPh>
    <rPh sb="13" eb="14">
      <t>ガツ</t>
    </rPh>
    <phoneticPr fontId="4"/>
  </si>
  <si>
    <t xml:space="preserve"> [令和４年１月中において適用]</t>
    <rPh sb="2" eb="4">
      <t>レイワ</t>
    </rPh>
    <rPh sb="8" eb="9">
      <t>チュウ</t>
    </rPh>
    <phoneticPr fontId="4"/>
  </si>
  <si>
    <t>0.320</t>
  </si>
  <si>
    <t>0.730</t>
  </si>
  <si>
    <t>3.60</t>
  </si>
  <si>
    <t>0.180</t>
  </si>
  <si>
    <t>0.230</t>
  </si>
  <si>
    <t>（令和3年11月中における実勢相場の平均値）</t>
    <rPh sb="1" eb="3">
      <t>レイワ</t>
    </rPh>
    <phoneticPr fontId="4"/>
  </si>
  <si>
    <t>↓貼付枠</t>
    <rPh sb="1" eb="4">
      <t>ハリツケワク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</si>
</sst>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numFmt numFmtId="177" formatCode="#,##0;[Red]#,##0"/>
    <numFmt numFmtId="178" formatCode="#,##0.00;[Red]#,##0.00"/>
    <numFmt numFmtId="179" formatCode="yyyy&quot;.&quot;mm"/>
  </numFmts>
  <fonts count="4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442">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11" fillId="0" borderId="1" xfId="0" applyFont="1" applyBorder="1"/>
    <xf numFmtId="0" fontId="12" fillId="0" borderId="1" xfId="0" applyFont="1" applyBorder="1"/>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4" fillId="0" borderId="1" xfId="0" applyFont="1" applyBorder="1" applyProtection="1"/>
    <xf numFmtId="0" fontId="14" fillId="0" borderId="1" xfId="0" applyFont="1" applyBorder="1"/>
    <xf numFmtId="49" fontId="14"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3"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3"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6" fillId="0" borderId="0" xfId="0" applyFont="1"/>
    <xf numFmtId="0" fontId="17" fillId="0" borderId="0" xfId="0" applyFont="1"/>
    <xf numFmtId="0" fontId="18"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3"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7" fillId="0" borderId="47" xfId="0" applyFont="1" applyBorder="1"/>
    <xf numFmtId="0" fontId="18" fillId="0" borderId="48" xfId="0" applyFont="1" applyBorder="1"/>
    <xf numFmtId="177" fontId="18" fillId="0" borderId="48" xfId="0" applyNumberFormat="1" applyFont="1" applyBorder="1" applyAlignment="1">
      <alignment horizontal="right"/>
    </xf>
    <xf numFmtId="0" fontId="18" fillId="0" borderId="51" xfId="0" applyFont="1" applyBorder="1"/>
    <xf numFmtId="0" fontId="18" fillId="0" borderId="7" xfId="0" applyFont="1" applyBorder="1" applyAlignment="1">
      <alignment vertical="center"/>
    </xf>
    <xf numFmtId="0" fontId="18" fillId="0" borderId="8" xfId="0" applyFont="1" applyBorder="1" applyAlignment="1">
      <alignment vertical="center"/>
    </xf>
    <xf numFmtId="177" fontId="18" fillId="0" borderId="8" xfId="0" applyNumberFormat="1" applyFont="1" applyBorder="1" applyAlignment="1">
      <alignment horizontal="right" vertical="center"/>
    </xf>
    <xf numFmtId="0" fontId="18" fillId="0" borderId="50" xfId="0" applyFont="1" applyBorder="1"/>
    <xf numFmtId="0" fontId="18" fillId="0" borderId="8" xfId="0" applyFont="1" applyBorder="1"/>
    <xf numFmtId="0" fontId="18" fillId="0" borderId="9" xfId="0" applyFont="1" applyBorder="1"/>
    <xf numFmtId="0" fontId="0" fillId="0" borderId="55" xfId="0" applyBorder="1"/>
    <xf numFmtId="0" fontId="17"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8" fillId="0" borderId="0" xfId="0" applyFont="1" applyFill="1"/>
    <xf numFmtId="0" fontId="0" fillId="0" borderId="0" xfId="0" applyFill="1"/>
    <xf numFmtId="0" fontId="18" fillId="0" borderId="47" xfId="0" applyFont="1" applyFill="1" applyBorder="1" applyAlignment="1">
      <alignment vertical="center"/>
    </xf>
    <xf numFmtId="0" fontId="18" fillId="0" borderId="48" xfId="0" applyFont="1" applyFill="1" applyBorder="1" applyAlignment="1">
      <alignment vertical="center"/>
    </xf>
    <xf numFmtId="177" fontId="18" fillId="0" borderId="48" xfId="0" applyNumberFormat="1" applyFont="1" applyFill="1" applyBorder="1" applyAlignment="1">
      <alignment horizontal="right" vertical="center"/>
    </xf>
    <xf numFmtId="0" fontId="18" fillId="0" borderId="51" xfId="0" applyFont="1" applyFill="1" applyBorder="1"/>
    <xf numFmtId="0" fontId="18" fillId="0" borderId="48" xfId="0" applyFont="1" applyFill="1" applyBorder="1"/>
    <xf numFmtId="0" fontId="18" fillId="0" borderId="49" xfId="0" applyFont="1" applyFill="1" applyBorder="1"/>
    <xf numFmtId="0" fontId="18" fillId="0" borderId="7" xfId="0" applyFont="1" applyFill="1" applyBorder="1" applyAlignment="1">
      <alignment vertical="center"/>
    </xf>
    <xf numFmtId="0" fontId="18" fillId="0" borderId="8" xfId="0" applyFont="1" applyFill="1" applyBorder="1" applyAlignment="1">
      <alignment vertical="center"/>
    </xf>
    <xf numFmtId="177" fontId="18" fillId="0" borderId="8" xfId="0" applyNumberFormat="1" applyFont="1" applyFill="1" applyBorder="1" applyAlignment="1">
      <alignment horizontal="right" vertical="center"/>
    </xf>
    <xf numFmtId="0" fontId="18" fillId="0" borderId="50" xfId="0" applyFont="1" applyFill="1" applyBorder="1"/>
    <xf numFmtId="0" fontId="18" fillId="0" borderId="8" xfId="0" applyFont="1" applyFill="1" applyBorder="1"/>
    <xf numFmtId="0" fontId="18" fillId="0" borderId="9" xfId="0" applyFont="1" applyFill="1" applyBorder="1"/>
    <xf numFmtId="0" fontId="0" fillId="0" borderId="0" xfId="0" applyAlignment="1">
      <alignment horizontal="center"/>
    </xf>
    <xf numFmtId="0" fontId="20" fillId="0" borderId="0" xfId="0" applyFont="1" applyAlignment="1">
      <alignment horizontal="right"/>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8" fillId="2" borderId="0" xfId="0" applyFont="1" applyFill="1" applyBorder="1" applyAlignment="1">
      <alignment horizontal="right" vertical="center"/>
    </xf>
    <xf numFmtId="0" fontId="18" fillId="0" borderId="20" xfId="0" applyFont="1" applyBorder="1" applyAlignment="1">
      <alignment horizontal="right" vertical="top"/>
    </xf>
    <xf numFmtId="0" fontId="18" fillId="0" borderId="20" xfId="0" applyFont="1" applyBorder="1" applyAlignment="1">
      <alignment horizontal="right" vertical="center"/>
    </xf>
    <xf numFmtId="0" fontId="20" fillId="2" borderId="40" xfId="0" quotePrefix="1" applyFont="1" applyFill="1" applyBorder="1" applyAlignment="1">
      <alignment horizontal="right" vertical="center"/>
    </xf>
    <xf numFmtId="0" fontId="19" fillId="2" borderId="40" xfId="0" quotePrefix="1" applyFont="1" applyFill="1" applyBorder="1" applyAlignment="1">
      <alignment horizontal="right" vertical="center"/>
    </xf>
    <xf numFmtId="0" fontId="19" fillId="2" borderId="39" xfId="0" quotePrefix="1" applyFont="1" applyFill="1" applyBorder="1" applyAlignment="1">
      <alignment horizontal="right" vertical="center"/>
    </xf>
    <xf numFmtId="0" fontId="20" fillId="2" borderId="31" xfId="0" quotePrefix="1" applyFont="1" applyFill="1" applyBorder="1" applyAlignment="1">
      <alignment horizontal="right" vertical="center"/>
    </xf>
    <xf numFmtId="0" fontId="19" fillId="2" borderId="31" xfId="0" quotePrefix="1" applyFont="1" applyFill="1" applyBorder="1" applyAlignment="1">
      <alignment horizontal="right" vertical="center"/>
    </xf>
    <xf numFmtId="0" fontId="19" fillId="2" borderId="32" xfId="0" quotePrefix="1" applyFont="1" applyFill="1" applyBorder="1" applyAlignment="1">
      <alignment horizontal="right" vertical="center"/>
    </xf>
    <xf numFmtId="0" fontId="20" fillId="2" borderId="0" xfId="0" quotePrefix="1" applyFont="1" applyFill="1" applyBorder="1" applyAlignment="1">
      <alignment horizontal="right" vertical="center"/>
    </xf>
    <xf numFmtId="0" fontId="19" fillId="2" borderId="0" xfId="0" applyFont="1" applyFill="1" applyBorder="1" applyAlignment="1">
      <alignment horizontal="right" vertical="center"/>
    </xf>
    <xf numFmtId="0" fontId="19" fillId="2" borderId="0" xfId="0" quotePrefix="1" applyFont="1" applyFill="1" applyBorder="1" applyAlignment="1">
      <alignment horizontal="right" vertical="center"/>
    </xf>
    <xf numFmtId="0" fontId="19" fillId="2" borderId="20" xfId="0" applyFont="1" applyFill="1" applyBorder="1" applyAlignment="1">
      <alignment horizontal="right" vertical="center"/>
    </xf>
    <xf numFmtId="0" fontId="19" fillId="2" borderId="33" xfId="0" quotePrefix="1" applyFont="1" applyFill="1" applyBorder="1" applyAlignment="1">
      <alignment horizontal="right" vertical="center"/>
    </xf>
    <xf numFmtId="0" fontId="19" fillId="2" borderId="20" xfId="0" quotePrefix="1" applyFont="1" applyFill="1" applyBorder="1" applyAlignment="1">
      <alignment horizontal="right" vertical="center"/>
    </xf>
    <xf numFmtId="0" fontId="23" fillId="0" borderId="12" xfId="0" applyFont="1" applyBorder="1"/>
    <xf numFmtId="0" fontId="24" fillId="0" borderId="41" xfId="0" applyFont="1" applyBorder="1"/>
    <xf numFmtId="0" fontId="25"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0" fillId="0" borderId="6" xfId="0" applyFont="1" applyBorder="1" applyAlignment="1">
      <alignment horizontal="right"/>
    </xf>
    <xf numFmtId="0" fontId="28"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7" fillId="2" borderId="31" xfId="0" applyFont="1" applyFill="1" applyBorder="1" applyAlignment="1">
      <alignment vertical="center"/>
    </xf>
    <xf numFmtId="0" fontId="8" fillId="0" borderId="57" xfId="0" applyFont="1" applyFill="1" applyBorder="1" applyAlignment="1">
      <alignment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8" fillId="0" borderId="58" xfId="0" applyFont="1" applyFill="1" applyBorder="1" applyAlignment="1">
      <alignment horizontal="center" vertical="center"/>
    </xf>
    <xf numFmtId="0" fontId="18" fillId="0" borderId="0" xfId="0" applyFont="1" applyBorder="1"/>
    <xf numFmtId="0" fontId="29"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178" fontId="0" fillId="0" borderId="10" xfId="0" applyNumberFormat="1" applyBorder="1" applyAlignment="1">
      <alignment vertical="center" shrinkToFit="1"/>
    </xf>
    <xf numFmtId="0" fontId="20" fillId="0" borderId="46" xfId="0" applyFont="1" applyBorder="1" applyAlignment="1">
      <alignment horizontal="distributed" vertical="top"/>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9" fillId="0" borderId="0" xfId="0" applyNumberFormat="1" applyFont="1" applyBorder="1" applyAlignment="1">
      <alignment shrinkToFit="1"/>
    </xf>
    <xf numFmtId="0" fontId="27" fillId="0" borderId="0" xfId="0" applyFont="1" applyBorder="1" applyAlignment="1">
      <alignment vertical="top" wrapText="1"/>
    </xf>
    <xf numFmtId="0" fontId="0" fillId="0" borderId="0" xfId="0" applyAlignment="1">
      <alignment horizontal="center"/>
    </xf>
    <xf numFmtId="0" fontId="0" fillId="3" borderId="1" xfId="0" applyFill="1" applyBorder="1"/>
    <xf numFmtId="0" fontId="30"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49" fontId="9" fillId="0" borderId="12" xfId="0" quotePrefix="1" applyNumberFormat="1" applyFont="1" applyBorder="1" applyAlignment="1">
      <alignment horizontal="center"/>
    </xf>
    <xf numFmtId="49" fontId="10" fillId="0" borderId="46" xfId="0" applyNumberFormat="1" applyFont="1" applyBorder="1" applyAlignment="1">
      <alignment horizont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8" fillId="0" borderId="12" xfId="0" applyFont="1" applyFill="1" applyBorder="1" applyAlignment="1" applyProtection="1">
      <alignment horizontal="center" vertical="center" shrinkToFit="1"/>
    </xf>
    <xf numFmtId="0" fontId="0" fillId="0" borderId="0" xfId="0" applyAlignment="1">
      <alignment horizontal="center"/>
    </xf>
    <xf numFmtId="0" fontId="0" fillId="0" borderId="0" xfId="0" applyAlignment="1">
      <alignment horizontal="left" vertical="top" wrapText="1"/>
    </xf>
    <xf numFmtId="0" fontId="0" fillId="0" borderId="0" xfId="0" applyBorder="1" applyAlignment="1">
      <alignment horizontal="right"/>
    </xf>
    <xf numFmtId="0" fontId="0" fillId="0" borderId="0" xfId="0" applyBorder="1" applyAlignment="1"/>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31"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32"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33"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33"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31"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34"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32"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32" fillId="0" borderId="57" xfId="0" applyFont="1" applyFill="1" applyBorder="1" applyAlignment="1">
      <alignment vertical="center"/>
    </xf>
    <xf numFmtId="0" fontId="31" fillId="0" borderId="1" xfId="0" applyFont="1" applyFill="1" applyBorder="1" applyAlignment="1">
      <alignment vertical="center"/>
    </xf>
    <xf numFmtId="0" fontId="32"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8"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7"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33" fillId="2" borderId="0" xfId="0" applyFont="1" applyFill="1" applyBorder="1" applyAlignment="1">
      <alignment horizontal="center" vertical="center" shrinkToFit="1"/>
    </xf>
    <xf numFmtId="0" fontId="9" fillId="0" borderId="15" xfId="0" applyFont="1" applyBorder="1" applyAlignment="1">
      <alignment vertical="center"/>
    </xf>
    <xf numFmtId="0" fontId="31" fillId="2" borderId="31" xfId="0" quotePrefix="1" applyFont="1" applyFill="1" applyBorder="1" applyAlignment="1">
      <alignment horizontal="right" vertical="center"/>
    </xf>
    <xf numFmtId="0" fontId="9" fillId="0" borderId="14" xfId="0" applyFont="1" applyBorder="1" applyAlignment="1">
      <alignment vertical="center"/>
    </xf>
    <xf numFmtId="0" fontId="31"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32"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32" fillId="0" borderId="46" xfId="0" applyFont="1" applyBorder="1" applyAlignment="1">
      <alignment horizontal="center" vertical="center"/>
    </xf>
    <xf numFmtId="0" fontId="34"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6" fillId="0" borderId="12" xfId="0" applyFont="1" applyBorder="1"/>
    <xf numFmtId="0" fontId="38" fillId="0" borderId="41" xfId="0" applyFont="1" applyBorder="1"/>
    <xf numFmtId="0" fontId="34" fillId="0" borderId="0" xfId="0" applyFont="1"/>
    <xf numFmtId="0" fontId="29" fillId="0" borderId="0" xfId="0" applyFont="1"/>
    <xf numFmtId="0" fontId="29" fillId="0" borderId="0" xfId="0" applyFont="1" applyFill="1"/>
    <xf numFmtId="0" fontId="9" fillId="0" borderId="0" xfId="0" applyFont="1" applyFill="1"/>
    <xf numFmtId="0" fontId="29" fillId="0" borderId="0" xfId="0" applyFont="1" applyBorder="1"/>
    <xf numFmtId="0" fontId="9" fillId="0" borderId="55" xfId="0" applyFont="1" applyBorder="1"/>
    <xf numFmtId="0" fontId="32" fillId="0" borderId="0" xfId="0" applyFont="1"/>
    <xf numFmtId="0" fontId="34" fillId="0" borderId="47" xfId="0" applyFont="1" applyBorder="1"/>
    <xf numFmtId="0" fontId="29" fillId="0" borderId="48" xfId="0" applyFont="1" applyBorder="1"/>
    <xf numFmtId="177" fontId="29" fillId="0" borderId="48" xfId="0" applyNumberFormat="1" applyFont="1" applyBorder="1" applyAlignment="1">
      <alignment horizontal="right"/>
    </xf>
    <xf numFmtId="0" fontId="29" fillId="0" borderId="51" xfId="0" applyFont="1" applyBorder="1"/>
    <xf numFmtId="0" fontId="40" fillId="0" borderId="0" xfId="0" applyFont="1"/>
    <xf numFmtId="0" fontId="29" fillId="0" borderId="7" xfId="0" applyFont="1" applyBorder="1" applyAlignment="1">
      <alignment vertical="center"/>
    </xf>
    <xf numFmtId="0" fontId="29" fillId="0" borderId="8" xfId="0" applyFont="1" applyBorder="1" applyAlignment="1">
      <alignment vertical="center"/>
    </xf>
    <xf numFmtId="177" fontId="29" fillId="0" borderId="8" xfId="0" applyNumberFormat="1" applyFont="1" applyBorder="1" applyAlignment="1">
      <alignment horizontal="right" vertical="center"/>
    </xf>
    <xf numFmtId="0" fontId="29" fillId="0" borderId="50" xfId="0" applyFont="1" applyBorder="1"/>
    <xf numFmtId="0" fontId="29" fillId="0" borderId="8" xfId="0" applyFont="1" applyBorder="1"/>
    <xf numFmtId="0" fontId="29" fillId="0" borderId="9" xfId="0" applyFont="1" applyBorder="1"/>
    <xf numFmtId="0" fontId="29" fillId="0" borderId="47" xfId="0" applyFont="1" applyFill="1" applyBorder="1" applyAlignment="1">
      <alignment vertical="center"/>
    </xf>
    <xf numFmtId="0" fontId="29" fillId="0" borderId="48" xfId="0" applyFont="1" applyFill="1" applyBorder="1" applyAlignment="1">
      <alignment vertical="center"/>
    </xf>
    <xf numFmtId="177" fontId="29" fillId="0" borderId="48" xfId="0" applyNumberFormat="1" applyFont="1" applyFill="1" applyBorder="1" applyAlignment="1">
      <alignment horizontal="right" vertical="center"/>
    </xf>
    <xf numFmtId="0" fontId="29" fillId="0" borderId="51" xfId="0" applyFont="1" applyFill="1" applyBorder="1"/>
    <xf numFmtId="0" fontId="29" fillId="0" borderId="48" xfId="0" applyFont="1" applyFill="1" applyBorder="1"/>
    <xf numFmtId="0" fontId="29" fillId="0" borderId="49" xfId="0" applyFont="1" applyFill="1" applyBorder="1"/>
    <xf numFmtId="0" fontId="29" fillId="0" borderId="7" xfId="0" applyFont="1" applyFill="1" applyBorder="1" applyAlignment="1">
      <alignment vertical="center"/>
    </xf>
    <xf numFmtId="0" fontId="29" fillId="0" borderId="8" xfId="0" applyFont="1" applyFill="1" applyBorder="1" applyAlignment="1">
      <alignment vertical="center"/>
    </xf>
    <xf numFmtId="177" fontId="29" fillId="0" borderId="8" xfId="0" applyNumberFormat="1" applyFont="1" applyFill="1" applyBorder="1" applyAlignment="1">
      <alignment horizontal="right" vertical="center"/>
    </xf>
    <xf numFmtId="0" fontId="29" fillId="0" borderId="50" xfId="0" applyFont="1" applyFill="1" applyBorder="1"/>
    <xf numFmtId="0" fontId="29" fillId="0" borderId="8" xfId="0" applyFont="1" applyFill="1" applyBorder="1"/>
    <xf numFmtId="0" fontId="29" fillId="0" borderId="9" xfId="0" applyFont="1" applyFill="1" applyBorder="1"/>
    <xf numFmtId="0" fontId="31"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4" fillId="0" borderId="59" xfId="0" applyFont="1" applyBorder="1" applyProtection="1"/>
    <xf numFmtId="14" fontId="0" fillId="0" borderId="0" xfId="0" applyNumberFormat="1"/>
    <xf numFmtId="0" fontId="0" fillId="3" borderId="1" xfId="0" quotePrefix="1" applyFill="1" applyBorder="1"/>
    <xf numFmtId="0" fontId="10" fillId="3" borderId="1" xfId="0" applyFont="1" applyFill="1" applyBorder="1"/>
    <xf numFmtId="0" fontId="9" fillId="3" borderId="1" xfId="0" applyFont="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7" fillId="0" borderId="5" xfId="0" applyFont="1" applyBorder="1" applyAlignment="1">
      <alignment vertical="top"/>
    </xf>
    <xf numFmtId="0" fontId="28" fillId="0" borderId="0" xfId="0" applyFont="1" applyAlignment="1">
      <alignment vertical="top"/>
    </xf>
    <xf numFmtId="0" fontId="29" fillId="0" borderId="0" xfId="0" applyFont="1" applyAlignment="1"/>
    <xf numFmtId="0" fontId="27"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9"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9" fillId="4" borderId="59" xfId="0" applyFont="1" applyFill="1" applyBorder="1"/>
    <xf numFmtId="0" fontId="10" fillId="4" borderId="59" xfId="0" applyFont="1" applyFill="1" applyBorder="1"/>
    <xf numFmtId="0" fontId="10" fillId="4" borderId="9" xfId="0" applyFont="1" applyFill="1" applyBorder="1"/>
    <xf numFmtId="177" fontId="0" fillId="0" borderId="1" xfId="0" applyNumberFormat="1" applyBorder="1"/>
    <xf numFmtId="0" fontId="0" fillId="4" borderId="11" xfId="0" applyFill="1" applyBorder="1"/>
    <xf numFmtId="0" fontId="0" fillId="4" borderId="59" xfId="0" applyFill="1" applyBorder="1"/>
    <xf numFmtId="0" fontId="0" fillId="4" borderId="0" xfId="0" applyFill="1"/>
    <xf numFmtId="0" fontId="0" fillId="0" borderId="0" xfId="0" applyAlignment="1">
      <alignment horizontal="center"/>
    </xf>
    <xf numFmtId="0" fontId="0" fillId="0" borderId="0" xfId="0" applyAlignment="1">
      <alignment horizontal="left" vertical="top" wrapText="1"/>
    </xf>
    <xf numFmtId="0" fontId="18" fillId="0" borderId="52" xfId="0" applyFont="1" applyBorder="1" applyAlignment="1">
      <alignment horizontal="center"/>
    </xf>
    <xf numFmtId="0" fontId="18" fillId="0" borderId="53" xfId="0" applyFont="1" applyBorder="1" applyAlignment="1">
      <alignment horizontal="center"/>
    </xf>
    <xf numFmtId="0" fontId="18" fillId="0" borderId="54" xfId="0" applyFont="1" applyBorder="1" applyAlignment="1">
      <alignment horizontal="center"/>
    </xf>
    <xf numFmtId="0" fontId="15" fillId="2" borderId="30" xfId="0" applyFont="1" applyFill="1" applyBorder="1" applyAlignment="1">
      <alignment horizontal="left" vertical="center"/>
    </xf>
    <xf numFmtId="0" fontId="15" fillId="2" borderId="56" xfId="0" applyFont="1" applyFill="1" applyBorder="1" applyAlignment="1">
      <alignment horizontal="left" vertical="center"/>
    </xf>
    <xf numFmtId="0" fontId="0" fillId="0" borderId="0" xfId="0" applyBorder="1" applyAlignment="1">
      <alignment horizontal="right" shrinkToFit="1"/>
    </xf>
    <xf numFmtId="0" fontId="0" fillId="0" borderId="0" xfId="0" applyBorder="1" applyAlignment="1">
      <alignment horizontal="right"/>
    </xf>
    <xf numFmtId="0" fontId="30" fillId="0" borderId="0" xfId="0" applyFont="1" applyBorder="1" applyAlignment="1">
      <alignment horizontal="right" vertical="center" wrapText="1"/>
    </xf>
    <xf numFmtId="0" fontId="0" fillId="0" borderId="0" xfId="0" applyFill="1" applyBorder="1" applyAlignment="1">
      <alignment horizontal="right"/>
    </xf>
    <xf numFmtId="179" fontId="8" fillId="0" borderId="0" xfId="0" applyNumberFormat="1" applyFont="1" applyAlignment="1">
      <alignment horizontal="right" vertical="top"/>
    </xf>
    <xf numFmtId="0" fontId="29" fillId="0" borderId="52" xfId="0" applyFont="1" applyBorder="1" applyAlignment="1">
      <alignment horizontal="center"/>
    </xf>
    <xf numFmtId="0" fontId="29" fillId="0" borderId="53" xfId="0" applyFont="1" applyBorder="1" applyAlignment="1">
      <alignment horizontal="center"/>
    </xf>
    <xf numFmtId="0" fontId="29" fillId="0" borderId="54" xfId="0" applyFont="1" applyBorder="1" applyAlignment="1">
      <alignment horizontal="center"/>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xf>
    <xf numFmtId="0" fontId="27"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0" fillId="0" borderId="46" xfId="0" applyBorder="1" applyAlignment="1">
      <alignment horizontal="right" shrinkToFit="1"/>
    </xf>
    <xf numFmtId="0" fontId="26" fillId="0" borderId="5" xfId="0" applyFont="1" applyBorder="1" applyAlignment="1">
      <alignment horizontal="left" vertical="top" wrapText="1"/>
    </xf>
    <xf numFmtId="0" fontId="26" fillId="0" borderId="0" xfId="0" applyFont="1" applyBorder="1" applyAlignment="1">
      <alignment horizontal="left" vertical="top" wrapText="1"/>
    </xf>
  </cellXfs>
  <cellStyles count="1">
    <cellStyle name="標準" xfId="0" builtinId="0"/>
  </cellStyles>
  <dxfs count="31">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style="thin">
          <color auto="1"/>
        </bottom>
        <vertical/>
        <horizontal/>
      </border>
    </dxf>
    <dxf>
      <font>
        <u val="none"/>
      </font>
      <border>
        <bottom style="thin">
          <color auto="1"/>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295275</xdr:colOff>
      <xdr:row>5</xdr:row>
      <xdr:rowOff>53973</xdr:rowOff>
    </xdr:from>
    <xdr:to>
      <xdr:col>18</xdr:col>
      <xdr:colOff>171450</xdr:colOff>
      <xdr:row>24</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56</xdr:row>
      <xdr:rowOff>102577</xdr:rowOff>
    </xdr:from>
    <xdr:to>
      <xdr:col>4</xdr:col>
      <xdr:colOff>271096</xdr:colOff>
      <xdr:row>57</xdr:row>
      <xdr:rowOff>174219</xdr:rowOff>
    </xdr:to>
    <xdr:sp macro="" textlink="">
      <xdr:nvSpPr>
        <xdr:cNvPr id="2" name="円/楕円 1"/>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58</xdr:row>
      <xdr:rowOff>20517</xdr:rowOff>
    </xdr:from>
    <xdr:to>
      <xdr:col>4</xdr:col>
      <xdr:colOff>276956</xdr:colOff>
      <xdr:row>58</xdr:row>
      <xdr:rowOff>253351</xdr:rowOff>
    </xdr:to>
    <xdr:sp macro="" textlink="">
      <xdr:nvSpPr>
        <xdr:cNvPr id="3" name="円/楕円 2"/>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333375</xdr:colOff>
      <xdr:row>14</xdr:row>
      <xdr:rowOff>150255</xdr:rowOff>
    </xdr:from>
    <xdr:to>
      <xdr:col>18</xdr:col>
      <xdr:colOff>84801</xdr:colOff>
      <xdr:row>16</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16</xdr:col>
      <xdr:colOff>342900</xdr:colOff>
      <xdr:row>14</xdr:row>
      <xdr:rowOff>79375</xdr:rowOff>
    </xdr:from>
    <xdr:to>
      <xdr:col>17</xdr:col>
      <xdr:colOff>552450</xdr:colOff>
      <xdr:row>16</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330200</xdr:colOff>
      <xdr:row>17</xdr:row>
      <xdr:rowOff>15567</xdr:rowOff>
    </xdr:from>
    <xdr:to>
      <xdr:col>18</xdr:col>
      <xdr:colOff>133350</xdr:colOff>
      <xdr:row>17</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82549</xdr:colOff>
      <xdr:row>16</xdr:row>
      <xdr:rowOff>25400</xdr:rowOff>
    </xdr:from>
    <xdr:to>
      <xdr:col>18</xdr:col>
      <xdr:colOff>161924</xdr:colOff>
      <xdr:row>17</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2" name="円/楕円 1"/>
        <xdr:cNvSpPr/>
      </xdr:nvSpPr>
      <xdr:spPr>
        <a:xfrm>
          <a:off x="4254497"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3" name="円/楕円 2"/>
        <xdr:cNvSpPr/>
      </xdr:nvSpPr>
      <xdr:spPr>
        <a:xfrm>
          <a:off x="4258735"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tabSelected="1" view="pageBreakPreview" zoomScaleNormal="100" zoomScaleSheetLayoutView="100" workbookViewId="0">
      <selection activeCell="B3" sqref="B3"/>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 customWidth="1"/>
    <col min="8" max="8" width="16.625" customWidth="1"/>
    <col min="9" max="9" width="4.75" bestFit="1" customWidth="1"/>
    <col min="10" max="10" width="0.625" customWidth="1"/>
    <col min="11" max="11" width="3.75" customWidth="1"/>
  </cols>
  <sheetData>
    <row r="1" spans="1:11" x14ac:dyDescent="0.15">
      <c r="A1" s="414" t="s">
        <v>386</v>
      </c>
      <c r="B1" s="414"/>
      <c r="C1" s="414"/>
      <c r="D1" s="414"/>
      <c r="E1" s="414"/>
      <c r="F1" s="414"/>
      <c r="G1" s="414"/>
      <c r="H1" s="414"/>
      <c r="I1" s="414"/>
    </row>
    <row r="2" spans="1:11" ht="6" customHeight="1" x14ac:dyDescent="0.15">
      <c r="A2" s="77"/>
      <c r="B2" s="77"/>
      <c r="C2" s="77"/>
      <c r="D2" s="77"/>
      <c r="E2" s="77"/>
      <c r="F2" s="77"/>
      <c r="G2" s="77"/>
      <c r="H2" s="77"/>
      <c r="I2" s="425">
        <f>MAX(修正履歴!A:A)</f>
        <v>44652</v>
      </c>
      <c r="J2" s="425"/>
      <c r="K2" s="425"/>
    </row>
    <row r="3" spans="1:11" x14ac:dyDescent="0.15">
      <c r="A3" s="90" t="s">
        <v>300</v>
      </c>
      <c r="C3" s="77"/>
      <c r="D3" s="77"/>
      <c r="E3" s="77"/>
      <c r="F3" s="77"/>
      <c r="G3" s="77"/>
      <c r="H3" s="77"/>
      <c r="I3" s="425"/>
      <c r="J3" s="425"/>
      <c r="K3" s="425"/>
    </row>
    <row r="4" spans="1:11" ht="9.75" customHeight="1" x14ac:dyDescent="0.15">
      <c r="A4" s="77"/>
      <c r="B4" s="90"/>
      <c r="C4" s="77"/>
      <c r="D4" s="77"/>
      <c r="E4" s="77"/>
      <c r="F4" s="77"/>
      <c r="G4" s="77"/>
      <c r="H4" s="77"/>
      <c r="I4" s="77"/>
    </row>
    <row r="5" spans="1:11" x14ac:dyDescent="0.15">
      <c r="A5" s="77"/>
      <c r="B5" s="415" t="str">
        <f>"　以下の"&amp;IF(VLOOKUP(H10,計算シート!F15:G19,2,0)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415"/>
      <c r="D5" s="415"/>
      <c r="E5" s="415"/>
      <c r="F5" s="415"/>
      <c r="G5" s="415"/>
      <c r="H5" s="415"/>
      <c r="I5" s="415"/>
    </row>
    <row r="6" spans="1:11" x14ac:dyDescent="0.15">
      <c r="A6" s="77"/>
      <c r="B6" s="415"/>
      <c r="C6" s="415"/>
      <c r="D6" s="415"/>
      <c r="E6" s="415"/>
      <c r="F6" s="415"/>
      <c r="G6" s="415"/>
      <c r="H6" s="415"/>
      <c r="I6" s="415"/>
    </row>
    <row r="7" spans="1:11" ht="5.25" customHeight="1" x14ac:dyDescent="0.15">
      <c r="A7" s="77"/>
      <c r="B7" s="77"/>
      <c r="C7" s="77"/>
      <c r="D7" s="77"/>
      <c r="E7" s="59"/>
      <c r="F7" s="168"/>
      <c r="G7" s="59"/>
      <c r="H7" s="170"/>
      <c r="I7" s="169"/>
    </row>
    <row r="8" spans="1:11" ht="14.25" thickBot="1" x14ac:dyDescent="0.2">
      <c r="A8" s="207"/>
      <c r="B8" s="207"/>
      <c r="C8" s="207"/>
      <c r="D8" s="207"/>
      <c r="E8" s="422" t="s">
        <v>392</v>
      </c>
      <c r="F8" s="422"/>
      <c r="G8" s="422"/>
      <c r="H8" s="206"/>
      <c r="I8" s="169"/>
    </row>
    <row r="9" spans="1:11" x14ac:dyDescent="0.15">
      <c r="A9" s="207"/>
      <c r="B9" s="207"/>
      <c r="C9" s="207"/>
      <c r="D9" s="207"/>
      <c r="E9" s="59"/>
      <c r="F9" s="59"/>
      <c r="G9" s="59"/>
      <c r="H9" s="209" t="s">
        <v>391</v>
      </c>
      <c r="I9" s="169"/>
    </row>
    <row r="10" spans="1:11" ht="14.25" thickBot="1" x14ac:dyDescent="0.2">
      <c r="A10" s="215"/>
      <c r="B10" s="220" t="s">
        <v>633</v>
      </c>
      <c r="C10" s="221"/>
      <c r="D10" s="230">
        <v>2022</v>
      </c>
      <c r="E10" s="424" t="s">
        <v>402</v>
      </c>
      <c r="F10" s="424"/>
      <c r="G10" s="424"/>
      <c r="H10" s="231" t="s">
        <v>404</v>
      </c>
      <c r="I10" s="169"/>
    </row>
    <row r="11" spans="1:11" ht="14.25" thickBot="1" x14ac:dyDescent="0.2">
      <c r="A11" s="166"/>
      <c r="B11" s="194" t="str">
        <f>IF(VLOOKUP(H10,計算シート!F15:G19,2,0)=4,"奨学生番号","申込受付番号")</f>
        <v>申込受付番号</v>
      </c>
      <c r="C11" s="59"/>
      <c r="D11" s="226"/>
      <c r="E11" s="169" t="str">
        <f>IF(VLOOKUP(H10,計算シート!F15:G19,2,0)=4,"","-")</f>
        <v>-</v>
      </c>
      <c r="F11" s="235"/>
      <c r="G11" s="235" t="str">
        <f>IF(VLOOKUP(H10,計算シート!F15:G19,2,0)=4,"","-")</f>
        <v>-</v>
      </c>
      <c r="H11" s="227"/>
      <c r="I11" s="169"/>
    </row>
    <row r="12" spans="1:11" ht="14.25" thickBot="1" x14ac:dyDescent="0.2">
      <c r="B12" s="194" t="str">
        <f>IF(VLOOKUP(H10,計算シート!F15:G19,2,0)=4,"奨学生","申込者")&amp;"本人氏名"</f>
        <v>申込者本人氏名</v>
      </c>
      <c r="C12" s="59"/>
      <c r="D12" s="210"/>
      <c r="E12" s="421" t="s">
        <v>393</v>
      </c>
      <c r="F12" s="421"/>
      <c r="G12" s="421"/>
      <c r="H12" s="206"/>
    </row>
    <row r="13" spans="1:11" ht="14.25" thickBot="1" x14ac:dyDescent="0.2">
      <c r="B13" s="194" t="s">
        <v>276</v>
      </c>
      <c r="C13" s="59"/>
      <c r="D13" s="211"/>
      <c r="E13" s="59"/>
      <c r="F13" s="59"/>
      <c r="G13" s="59"/>
      <c r="H13" s="209" t="s">
        <v>391</v>
      </c>
    </row>
    <row r="14" spans="1:11" ht="14.25" thickBot="1" x14ac:dyDescent="0.2">
      <c r="B14" s="194" t="s">
        <v>277</v>
      </c>
      <c r="C14" s="59"/>
      <c r="D14" s="212"/>
      <c r="E14" s="423"/>
      <c r="F14" s="423"/>
      <c r="G14" s="423"/>
      <c r="H14" s="213"/>
    </row>
    <row r="15" spans="1:11" x14ac:dyDescent="0.15">
      <c r="B15" s="224" t="str">
        <f>"※ 以下、収入（所得）は【"&amp;YEAR(計算シート!C46)-1&amp;"年1月1日～12月31日】のものを入力してください。"</f>
        <v>※ 以下、収入（所得）は【2021年1月1日～12月31日】のものを入力してください。</v>
      </c>
      <c r="C15" s="59"/>
      <c r="D15" s="218"/>
      <c r="E15" s="217"/>
      <c r="F15" s="217"/>
      <c r="G15" s="217"/>
      <c r="H15" s="213"/>
    </row>
    <row r="16" spans="1:11" x14ac:dyDescent="0.15">
      <c r="B16" s="224" t="str">
        <f>"    扶養等の情報は【"&amp;YEAR(計算シート!C46)-1&amp;"年12月31日】現在のものを入力してください。"</f>
        <v xml:space="preserve">    扶養等の情報は【2021年12月31日】現在のものを入力してください。</v>
      </c>
      <c r="C16" s="59"/>
      <c r="D16" s="218"/>
      <c r="E16" s="217"/>
      <c r="F16" s="217"/>
      <c r="G16" s="217"/>
      <c r="H16" s="213"/>
    </row>
    <row r="17" spans="1:10" ht="3.75" customHeight="1" thickBot="1" x14ac:dyDescent="0.2">
      <c r="A17" s="83"/>
      <c r="B17" s="83"/>
      <c r="C17" s="83"/>
      <c r="D17" s="83"/>
      <c r="E17" s="83"/>
      <c r="H17" s="83"/>
    </row>
    <row r="18" spans="1:10" s="101" customFormat="1" ht="15.6" customHeight="1" thickTop="1" x14ac:dyDescent="0.15">
      <c r="A18" s="89" t="s">
        <v>421</v>
      </c>
      <c r="B18" s="99"/>
      <c r="C18" s="99"/>
      <c r="D18" s="99"/>
      <c r="E18" s="100"/>
      <c r="G18" s="86" t="s">
        <v>379</v>
      </c>
      <c r="H18" s="196"/>
      <c r="I18" s="100"/>
    </row>
    <row r="19" spans="1:10" s="101" customFormat="1" ht="12.95" customHeight="1" thickBot="1" x14ac:dyDescent="0.2">
      <c r="A19" s="174" t="s">
        <v>319</v>
      </c>
      <c r="B19" s="151" t="s">
        <v>413</v>
      </c>
      <c r="C19" s="385"/>
      <c r="D19" s="386">
        <f>H12</f>
        <v>0</v>
      </c>
      <c r="E19" s="105"/>
      <c r="G19" s="198" t="s">
        <v>380</v>
      </c>
      <c r="H19" s="78"/>
      <c r="I19" s="105"/>
    </row>
    <row r="20" spans="1:10" s="101" customFormat="1" ht="12.95" customHeight="1" thickBot="1" x14ac:dyDescent="0.2">
      <c r="A20" s="175" t="s">
        <v>320</v>
      </c>
      <c r="B20" s="104" t="s">
        <v>295</v>
      </c>
      <c r="D20" s="60" t="s">
        <v>38</v>
      </c>
      <c r="E20" s="105"/>
      <c r="G20" s="198" t="s">
        <v>381</v>
      </c>
      <c r="H20" s="78"/>
      <c r="I20" s="105"/>
    </row>
    <row r="21" spans="1:10" s="101" customFormat="1" ht="12.95" customHeight="1" thickBot="1" x14ac:dyDescent="0.2">
      <c r="A21" s="175" t="s">
        <v>321</v>
      </c>
      <c r="B21" s="101" t="s">
        <v>296</v>
      </c>
      <c r="C21" s="106"/>
      <c r="D21" s="93" t="s">
        <v>44</v>
      </c>
      <c r="E21" s="105"/>
      <c r="G21" s="198" t="s">
        <v>382</v>
      </c>
      <c r="H21" s="78"/>
      <c r="I21" s="105"/>
    </row>
    <row r="22" spans="1:10" s="101" customFormat="1" ht="12.95" customHeight="1" thickBot="1" x14ac:dyDescent="0.2">
      <c r="A22" s="175" t="s">
        <v>322</v>
      </c>
      <c r="B22" s="107" t="s">
        <v>297</v>
      </c>
      <c r="C22" s="106"/>
      <c r="D22" s="76" t="s">
        <v>40</v>
      </c>
      <c r="E22" s="105"/>
      <c r="G22" s="199">
        <v>1</v>
      </c>
      <c r="H22" s="200" t="s">
        <v>383</v>
      </c>
      <c r="I22" s="202" t="s">
        <v>634</v>
      </c>
    </row>
    <row r="23" spans="1:10" s="101" customFormat="1" ht="12.95" customHeight="1" thickBot="1" x14ac:dyDescent="0.2">
      <c r="A23" s="175" t="s">
        <v>323</v>
      </c>
      <c r="B23" s="108" t="s">
        <v>422</v>
      </c>
      <c r="C23" s="102"/>
      <c r="D23" s="60" t="s">
        <v>42</v>
      </c>
      <c r="E23" s="105"/>
      <c r="G23" s="199">
        <v>2</v>
      </c>
      <c r="H23" s="201" t="s">
        <v>390</v>
      </c>
      <c r="I23" s="202" t="str">
        <f>IF(D32="はい","○"&amp;IF(VLOOKUP(H10,計算シート!F15:G19,2,0)=4,"※",""),"")</f>
        <v>○</v>
      </c>
    </row>
    <row r="24" spans="1:10" s="101" customFormat="1" ht="12.95" customHeight="1" thickBot="1" x14ac:dyDescent="0.2">
      <c r="A24" s="175" t="s">
        <v>324</v>
      </c>
      <c r="B24" s="62" t="s">
        <v>280</v>
      </c>
      <c r="C24" s="102"/>
      <c r="D24" s="76" t="s">
        <v>49</v>
      </c>
      <c r="E24" s="105"/>
      <c r="G24" s="199">
        <v>3</v>
      </c>
      <c r="H24" s="200" t="s">
        <v>389</v>
      </c>
      <c r="I24" s="202" t="str">
        <f>IF(SUM(D47:D55,H47:H55)&gt;0,"○","")</f>
        <v/>
      </c>
    </row>
    <row r="25" spans="1:10" s="101" customFormat="1" ht="12.95" customHeight="1" thickBot="1" x14ac:dyDescent="0.2">
      <c r="A25" s="175" t="s">
        <v>325</v>
      </c>
      <c r="B25" s="101" t="s">
        <v>281</v>
      </c>
      <c r="D25" s="208">
        <v>0</v>
      </c>
      <c r="E25" s="103" t="str">
        <f>MID(D24,SEARCH("(",D24)+1,3)</f>
        <v>JPY</v>
      </c>
      <c r="G25" s="199">
        <v>4</v>
      </c>
      <c r="H25" s="200" t="s">
        <v>388</v>
      </c>
      <c r="I25" s="202" t="str">
        <f>IF(D32="いいえ","○","")</f>
        <v/>
      </c>
    </row>
    <row r="26" spans="1:10" s="101" customFormat="1" ht="12.95" customHeight="1" thickBot="1" x14ac:dyDescent="0.2">
      <c r="A26" s="175" t="s">
        <v>326</v>
      </c>
      <c r="B26" s="150" t="s">
        <v>308</v>
      </c>
      <c r="C26" s="102"/>
      <c r="D26" s="76" t="s">
        <v>49</v>
      </c>
      <c r="E26" s="105"/>
      <c r="G26" s="199">
        <v>5</v>
      </c>
      <c r="H26" s="200" t="s">
        <v>387</v>
      </c>
      <c r="I26" s="202" t="str">
        <f>IF(OR(D21="障がい者である",D21="特別の障がい者である",D35="障がい者である",D35="特別の障がい者である",H35="障がい者である",H35="特別の障がい者である",SUM(D53:D55,H53:H55)&gt;0),"○","")</f>
        <v/>
      </c>
    </row>
    <row r="27" spans="1:10" s="101" customFormat="1" ht="12.95" customHeight="1" thickBot="1" x14ac:dyDescent="0.2">
      <c r="A27" s="176" t="s">
        <v>327</v>
      </c>
      <c r="B27" s="84" t="s">
        <v>309</v>
      </c>
      <c r="C27" s="110"/>
      <c r="D27" s="208">
        <v>0</v>
      </c>
      <c r="E27" s="111" t="str">
        <f>MID(D26,SEARCH("(",D26)+1,3)</f>
        <v>JPY</v>
      </c>
      <c r="G27" s="197"/>
      <c r="H27" s="120"/>
      <c r="I27" s="130"/>
    </row>
    <row r="28" spans="1:10" s="101" customFormat="1" ht="3" customHeight="1" thickTop="1" x14ac:dyDescent="0.15"/>
    <row r="29" spans="1:10" s="101" customFormat="1" ht="14.1" customHeight="1" thickBot="1" x14ac:dyDescent="0.2">
      <c r="A29" s="81"/>
      <c r="B29" s="81"/>
      <c r="C29" s="82"/>
      <c r="D29" s="112" t="s">
        <v>38</v>
      </c>
      <c r="E29" s="113"/>
      <c r="F29" s="81"/>
      <c r="G29" s="82"/>
      <c r="H29" s="128" t="str">
        <f>IF(AND(D32="はい",D33="いいえ"),"生計維持者１の配偶者",IF(AND(D32="はい",D33="はい"),"生計維持者２",""))</f>
        <v>生計維持者２</v>
      </c>
      <c r="I29" s="114"/>
      <c r="J29" s="115"/>
    </row>
    <row r="30" spans="1:10" s="101" customFormat="1" ht="15.6" customHeight="1" thickTop="1" thickBot="1" x14ac:dyDescent="0.2">
      <c r="A30" s="86" t="s">
        <v>282</v>
      </c>
      <c r="B30" s="78"/>
      <c r="C30" s="79"/>
      <c r="D30" s="78"/>
      <c r="E30" s="116"/>
      <c r="F30" s="78"/>
      <c r="G30" s="79"/>
      <c r="H30" s="129" t="str">
        <f>IF(H29="生計維持者１の配偶者","(配偶者の基本情報）","")</f>
        <v/>
      </c>
      <c r="I30" s="100"/>
      <c r="J30" s="117"/>
    </row>
    <row r="31" spans="1:10" s="101" customFormat="1" ht="12.95" customHeight="1" thickBot="1" x14ac:dyDescent="0.2">
      <c r="A31" s="177" t="s">
        <v>328</v>
      </c>
      <c r="B31" s="151" t="s">
        <v>412</v>
      </c>
      <c r="C31" s="65"/>
      <c r="D31" s="225"/>
      <c r="E31" s="116"/>
      <c r="F31" s="180" t="s">
        <v>334</v>
      </c>
      <c r="G31" s="79"/>
      <c r="H31" s="225"/>
      <c r="I31" s="105"/>
      <c r="J31" s="117"/>
    </row>
    <row r="32" spans="1:10" s="101" customFormat="1" ht="12.95" customHeight="1" thickBot="1" x14ac:dyDescent="0.2">
      <c r="A32" s="178" t="s">
        <v>329</v>
      </c>
      <c r="B32" s="62" t="s">
        <v>312</v>
      </c>
      <c r="C32" s="65"/>
      <c r="D32" s="60" t="s">
        <v>40</v>
      </c>
      <c r="E32" s="116"/>
      <c r="F32" s="181"/>
      <c r="G32" s="79"/>
      <c r="H32" s="118"/>
      <c r="I32" s="105"/>
      <c r="J32" s="117"/>
    </row>
    <row r="33" spans="1:10" s="101" customFormat="1" ht="12.95" customHeight="1" thickBot="1" x14ac:dyDescent="0.2">
      <c r="A33" s="178" t="s">
        <v>330</v>
      </c>
      <c r="B33" s="62" t="s">
        <v>318</v>
      </c>
      <c r="C33" s="65"/>
      <c r="D33" s="60" t="s">
        <v>40</v>
      </c>
      <c r="E33" s="116"/>
      <c r="F33" s="181"/>
      <c r="G33" s="79"/>
      <c r="H33" s="118"/>
      <c r="I33" s="105"/>
      <c r="J33" s="117"/>
    </row>
    <row r="34" spans="1:10" s="101" customFormat="1" ht="12.95" customHeight="1" thickBot="1" x14ac:dyDescent="0.2">
      <c r="A34" s="178" t="s">
        <v>331</v>
      </c>
      <c r="B34" s="64" t="s">
        <v>315</v>
      </c>
      <c r="C34" s="66"/>
      <c r="D34" s="60" t="s">
        <v>40</v>
      </c>
      <c r="E34" s="116"/>
      <c r="F34" s="181"/>
      <c r="G34" s="79"/>
      <c r="H34" s="78"/>
      <c r="I34" s="105"/>
      <c r="J34" s="117"/>
    </row>
    <row r="35" spans="1:10" s="101" customFormat="1" ht="12.95" customHeight="1" thickBot="1" x14ac:dyDescent="0.2">
      <c r="A35" s="178" t="s">
        <v>332</v>
      </c>
      <c r="B35" s="62" t="s">
        <v>298</v>
      </c>
      <c r="C35" s="65"/>
      <c r="D35" s="61" t="s">
        <v>44</v>
      </c>
      <c r="E35" s="116"/>
      <c r="F35" s="182" t="s">
        <v>335</v>
      </c>
      <c r="G35" s="79"/>
      <c r="H35" s="61" t="s">
        <v>44</v>
      </c>
      <c r="I35" s="105"/>
      <c r="J35" s="117"/>
    </row>
    <row r="36" spans="1:10" s="101" customFormat="1" ht="12.95" customHeight="1" thickBot="1" x14ac:dyDescent="0.2">
      <c r="A36" s="179" t="s">
        <v>333</v>
      </c>
      <c r="B36" s="84" t="s">
        <v>299</v>
      </c>
      <c r="C36" s="85"/>
      <c r="D36" s="61" t="s">
        <v>618</v>
      </c>
      <c r="E36" s="119"/>
      <c r="F36" s="183"/>
      <c r="G36" s="125"/>
      <c r="H36" s="131"/>
      <c r="I36" s="130"/>
      <c r="J36" s="117"/>
    </row>
    <row r="37" spans="1:10" s="149" customFormat="1" ht="11.25" customHeight="1" thickTop="1" thickBot="1" x14ac:dyDescent="0.2">
      <c r="A37" s="143" t="str">
        <f>IF(D32="はい","　※"&amp;IF(VLOOKUP(H10,計算シート!F15:G19,2,0)=4,"奨学生","申込者")&amp;"の父母が健在である場合、それぞれが生計維持者となりますので、「はい」を選択してください。","")</f>
        <v>　※申込者の父母が健在である場合、それぞれが生計維持者となりますので、「はい」を選択してください。</v>
      </c>
      <c r="B37" s="144"/>
      <c r="C37" s="145"/>
      <c r="D37" s="144"/>
      <c r="E37" s="146"/>
      <c r="F37" s="172"/>
      <c r="G37" s="145"/>
      <c r="H37" s="147"/>
      <c r="I37" s="144"/>
      <c r="J37" s="148"/>
    </row>
    <row r="38" spans="1:10" s="101" customFormat="1" ht="15.6" customHeight="1" thickTop="1" thickBot="1" x14ac:dyDescent="0.2">
      <c r="A38" s="86" t="s">
        <v>283</v>
      </c>
      <c r="B38" s="78"/>
      <c r="C38" s="79"/>
      <c r="D38" s="78"/>
      <c r="E38" s="116"/>
      <c r="F38" s="171"/>
      <c r="G38" s="79"/>
      <c r="H38" s="129" t="str">
        <f>IF(H29="生計維持者１の配偶者","(配偶者の収入・所得の情報）","")</f>
        <v/>
      </c>
      <c r="I38" s="100"/>
      <c r="J38" s="117"/>
    </row>
    <row r="39" spans="1:10" s="101" customFormat="1" ht="12.95" customHeight="1" thickBot="1" x14ac:dyDescent="0.2">
      <c r="A39" s="177" t="s">
        <v>336</v>
      </c>
      <c r="B39" s="62" t="s">
        <v>272</v>
      </c>
      <c r="C39" s="65"/>
      <c r="D39" s="76" t="s">
        <v>49</v>
      </c>
      <c r="E39" s="116"/>
      <c r="F39" s="180" t="s">
        <v>342</v>
      </c>
      <c r="G39" s="79"/>
      <c r="H39" s="76" t="s">
        <v>49</v>
      </c>
      <c r="I39" s="105"/>
      <c r="J39" s="117"/>
    </row>
    <row r="40" spans="1:10" s="101" customFormat="1" ht="12.95" customHeight="1" thickBot="1" x14ac:dyDescent="0.2">
      <c r="A40" s="178" t="s">
        <v>337</v>
      </c>
      <c r="B40" s="62" t="s">
        <v>274</v>
      </c>
      <c r="C40" s="65"/>
      <c r="D40" s="208">
        <v>0</v>
      </c>
      <c r="E40" s="117" t="str">
        <f>MID(D39,SEARCH("(",D39)+1,3)</f>
        <v>JPY</v>
      </c>
      <c r="F40" s="182" t="s">
        <v>343</v>
      </c>
      <c r="G40" s="79"/>
      <c r="H40" s="208">
        <v>0</v>
      </c>
      <c r="I40" s="103" t="str">
        <f>MID(H39,SEARCH("(",H39)+1,3)</f>
        <v>JPY</v>
      </c>
      <c r="J40" s="117"/>
    </row>
    <row r="41" spans="1:10" s="101" customFormat="1" ht="12.95" customHeight="1" thickBot="1" x14ac:dyDescent="0.2">
      <c r="A41" s="178" t="s">
        <v>338</v>
      </c>
      <c r="B41" s="62" t="s">
        <v>273</v>
      </c>
      <c r="C41" s="65"/>
      <c r="D41" s="76" t="s">
        <v>49</v>
      </c>
      <c r="E41" s="116"/>
      <c r="F41" s="182" t="s">
        <v>344</v>
      </c>
      <c r="G41" s="79"/>
      <c r="H41" s="76" t="s">
        <v>49</v>
      </c>
      <c r="I41" s="105"/>
      <c r="J41" s="117"/>
    </row>
    <row r="42" spans="1:10" s="101" customFormat="1" ht="12.95" customHeight="1" thickBot="1" x14ac:dyDescent="0.2">
      <c r="A42" s="178" t="s">
        <v>339</v>
      </c>
      <c r="B42" s="62" t="s">
        <v>275</v>
      </c>
      <c r="C42" s="65"/>
      <c r="D42" s="208">
        <v>0</v>
      </c>
      <c r="E42" s="117" t="str">
        <f>MID(D41,SEARCH("(",D41)+1,3)</f>
        <v>JPY</v>
      </c>
      <c r="F42" s="182" t="s">
        <v>345</v>
      </c>
      <c r="G42" s="79"/>
      <c r="H42" s="208">
        <v>0</v>
      </c>
      <c r="I42" s="123" t="str">
        <f>MID(H41,SEARCH("(",H41)+1,3)</f>
        <v>JPY</v>
      </c>
      <c r="J42" s="117"/>
    </row>
    <row r="43" spans="1:10" s="101" customFormat="1" ht="12.95" customHeight="1" thickBot="1" x14ac:dyDescent="0.2">
      <c r="A43" s="178" t="s">
        <v>340</v>
      </c>
      <c r="B43" s="151" t="s">
        <v>306</v>
      </c>
      <c r="C43" s="65"/>
      <c r="D43" s="76" t="s">
        <v>49</v>
      </c>
      <c r="E43" s="116"/>
      <c r="F43" s="182" t="s">
        <v>346</v>
      </c>
      <c r="G43" s="79"/>
      <c r="H43" s="76" t="s">
        <v>49</v>
      </c>
      <c r="I43" s="124"/>
      <c r="J43" s="117"/>
    </row>
    <row r="44" spans="1:10" s="101" customFormat="1" ht="12.95" customHeight="1" thickBot="1" x14ac:dyDescent="0.2">
      <c r="A44" s="179" t="s">
        <v>341</v>
      </c>
      <c r="B44" s="88" t="s">
        <v>307</v>
      </c>
      <c r="C44" s="72"/>
      <c r="D44" s="208">
        <v>0</v>
      </c>
      <c r="E44" s="119" t="str">
        <f>MID(D43,SEARCH("(",D43)+1,3)</f>
        <v>JPY</v>
      </c>
      <c r="F44" s="184" t="s">
        <v>347</v>
      </c>
      <c r="G44" s="121"/>
      <c r="H44" s="208">
        <v>0</v>
      </c>
      <c r="I44" s="123" t="str">
        <f>MID(H43,SEARCH("(",H43)+1,3)</f>
        <v>JPY</v>
      </c>
      <c r="J44" s="117"/>
    </row>
    <row r="45" spans="1:10" s="101" customFormat="1" ht="7.5" customHeight="1" thickTop="1" thickBot="1" x14ac:dyDescent="0.2">
      <c r="A45" s="173"/>
      <c r="B45" s="81"/>
      <c r="C45" s="87"/>
      <c r="D45" s="81"/>
      <c r="E45" s="122"/>
      <c r="F45" s="173"/>
      <c r="G45" s="87"/>
      <c r="H45" s="81"/>
      <c r="I45" s="126"/>
      <c r="J45" s="117"/>
    </row>
    <row r="46" spans="1:10" s="101" customFormat="1" ht="15.6" customHeight="1" thickTop="1" thickBot="1" x14ac:dyDescent="0.2">
      <c r="A46" s="419" t="s">
        <v>366</v>
      </c>
      <c r="B46" s="420"/>
      <c r="C46" s="420"/>
      <c r="D46" s="420"/>
      <c r="E46" s="116"/>
      <c r="F46" s="171"/>
      <c r="G46" s="79"/>
      <c r="H46" s="129" t="str">
        <f>IF(H29="生計維持者１の配偶者","(配偶者の扶養の情報）","")</f>
        <v/>
      </c>
      <c r="I46" s="100"/>
      <c r="J46" s="117"/>
    </row>
    <row r="47" spans="1:10" s="101" customFormat="1" ht="12.95" customHeight="1" thickBot="1" x14ac:dyDescent="0.2">
      <c r="A47" s="178" t="s">
        <v>348</v>
      </c>
      <c r="B47" s="62" t="s">
        <v>0</v>
      </c>
      <c r="C47" s="65"/>
      <c r="D47" s="60">
        <v>0</v>
      </c>
      <c r="E47" s="117" t="s">
        <v>48</v>
      </c>
      <c r="F47" s="180" t="s">
        <v>357</v>
      </c>
      <c r="G47" s="79"/>
      <c r="H47" s="60">
        <v>0</v>
      </c>
      <c r="I47" s="103" t="s">
        <v>48</v>
      </c>
      <c r="J47" s="117"/>
    </row>
    <row r="48" spans="1:10" s="101" customFormat="1" ht="12.95" customHeight="1" thickBot="1" x14ac:dyDescent="0.2">
      <c r="A48" s="178" t="s">
        <v>349</v>
      </c>
      <c r="B48" s="62" t="s">
        <v>1</v>
      </c>
      <c r="C48" s="65"/>
      <c r="D48" s="60">
        <v>0</v>
      </c>
      <c r="E48" s="117" t="s">
        <v>48</v>
      </c>
      <c r="F48" s="182" t="s">
        <v>358</v>
      </c>
      <c r="G48" s="79"/>
      <c r="H48" s="60">
        <v>0</v>
      </c>
      <c r="I48" s="103" t="s">
        <v>48</v>
      </c>
      <c r="J48" s="117"/>
    </row>
    <row r="49" spans="1:10" s="101" customFormat="1" ht="12.95" customHeight="1" thickBot="1" x14ac:dyDescent="0.2">
      <c r="A49" s="178" t="s">
        <v>350</v>
      </c>
      <c r="B49" s="62" t="s">
        <v>2</v>
      </c>
      <c r="C49" s="65"/>
      <c r="D49" s="60">
        <v>0</v>
      </c>
      <c r="E49" s="117" t="s">
        <v>48</v>
      </c>
      <c r="F49" s="182" t="s">
        <v>359</v>
      </c>
      <c r="G49" s="79"/>
      <c r="H49" s="60">
        <v>0</v>
      </c>
      <c r="I49" s="103" t="s">
        <v>48</v>
      </c>
      <c r="J49" s="117"/>
    </row>
    <row r="50" spans="1:10" s="101" customFormat="1" ht="12.95" customHeight="1" thickBot="1" x14ac:dyDescent="0.2">
      <c r="A50" s="178" t="s">
        <v>351</v>
      </c>
      <c r="B50" s="62" t="s">
        <v>3</v>
      </c>
      <c r="C50" s="65"/>
      <c r="D50" s="60">
        <v>0</v>
      </c>
      <c r="E50" s="117" t="s">
        <v>48</v>
      </c>
      <c r="F50" s="182" t="s">
        <v>360</v>
      </c>
      <c r="G50" s="79"/>
      <c r="H50" s="60">
        <v>0</v>
      </c>
      <c r="I50" s="103" t="s">
        <v>48</v>
      </c>
      <c r="J50" s="117"/>
    </row>
    <row r="51" spans="1:10" s="101" customFormat="1" ht="12.95" customHeight="1" thickBot="1" x14ac:dyDescent="0.2">
      <c r="A51" s="178" t="s">
        <v>352</v>
      </c>
      <c r="B51" s="62" t="s">
        <v>4</v>
      </c>
      <c r="C51" s="65"/>
      <c r="D51" s="60">
        <v>0</v>
      </c>
      <c r="E51" s="117" t="s">
        <v>48</v>
      </c>
      <c r="F51" s="182" t="s">
        <v>361</v>
      </c>
      <c r="G51" s="79"/>
      <c r="H51" s="60">
        <v>0</v>
      </c>
      <c r="I51" s="103" t="s">
        <v>48</v>
      </c>
      <c r="J51" s="117"/>
    </row>
    <row r="52" spans="1:10" s="101" customFormat="1" ht="12.95" customHeight="1" thickBot="1" x14ac:dyDescent="0.2">
      <c r="A52" s="178" t="s">
        <v>353</v>
      </c>
      <c r="B52" s="62" t="s">
        <v>5</v>
      </c>
      <c r="C52" s="65"/>
      <c r="D52" s="60">
        <v>0</v>
      </c>
      <c r="E52" s="117" t="s">
        <v>48</v>
      </c>
      <c r="F52" s="182" t="s">
        <v>362</v>
      </c>
      <c r="G52" s="79"/>
      <c r="H52" s="60">
        <v>0</v>
      </c>
      <c r="I52" s="103" t="s">
        <v>48</v>
      </c>
      <c r="J52" s="117"/>
    </row>
    <row r="53" spans="1:10" s="101" customFormat="1" ht="12.95" customHeight="1" thickBot="1" x14ac:dyDescent="0.2">
      <c r="A53" s="178" t="s">
        <v>354</v>
      </c>
      <c r="B53" s="62" t="s">
        <v>302</v>
      </c>
      <c r="C53" s="65"/>
      <c r="D53" s="60">
        <v>0</v>
      </c>
      <c r="E53" s="117" t="s">
        <v>48</v>
      </c>
      <c r="F53" s="182" t="s">
        <v>363</v>
      </c>
      <c r="G53" s="79"/>
      <c r="H53" s="60">
        <v>0</v>
      </c>
      <c r="I53" s="103" t="s">
        <v>48</v>
      </c>
      <c r="J53" s="117"/>
    </row>
    <row r="54" spans="1:10" s="101" customFormat="1" ht="12.95" customHeight="1" thickBot="1" x14ac:dyDescent="0.2">
      <c r="A54" s="178" t="s">
        <v>355</v>
      </c>
      <c r="B54" s="63" t="s">
        <v>303</v>
      </c>
      <c r="C54" s="67"/>
      <c r="D54" s="60">
        <v>0</v>
      </c>
      <c r="E54" s="117" t="s">
        <v>48</v>
      </c>
      <c r="F54" s="182" t="s">
        <v>364</v>
      </c>
      <c r="G54" s="79"/>
      <c r="H54" s="60">
        <v>0</v>
      </c>
      <c r="I54" s="103" t="s">
        <v>48</v>
      </c>
      <c r="J54" s="117"/>
    </row>
    <row r="55" spans="1:10" s="101" customFormat="1" ht="12.95" customHeight="1" thickBot="1" x14ac:dyDescent="0.2">
      <c r="A55" s="179" t="s">
        <v>356</v>
      </c>
      <c r="B55" s="127" t="s">
        <v>304</v>
      </c>
      <c r="C55" s="85"/>
      <c r="D55" s="60">
        <v>0</v>
      </c>
      <c r="E55" s="119" t="s">
        <v>48</v>
      </c>
      <c r="F55" s="185" t="s">
        <v>365</v>
      </c>
      <c r="G55" s="121"/>
      <c r="H55" s="60">
        <v>0</v>
      </c>
      <c r="I55" s="111" t="s">
        <v>48</v>
      </c>
      <c r="J55" s="117"/>
    </row>
    <row r="56" spans="1:10" ht="6.6" customHeight="1" thickTop="1" x14ac:dyDescent="0.15">
      <c r="C56" s="68"/>
      <c r="D56" s="69"/>
      <c r="E56" s="70"/>
      <c r="G56" s="68"/>
      <c r="H56" s="71"/>
      <c r="I56" s="71"/>
      <c r="J56" s="70"/>
    </row>
    <row r="57" spans="1:10" ht="12.75" hidden="1" customHeight="1" x14ac:dyDescent="0.15">
      <c r="B57" t="s">
        <v>294</v>
      </c>
    </row>
    <row r="58" spans="1:10" ht="17.25" hidden="1" customHeight="1" thickBot="1" x14ac:dyDescent="0.2">
      <c r="B58" s="80" t="s">
        <v>278</v>
      </c>
      <c r="C58" s="80"/>
      <c r="D58" s="80"/>
      <c r="E58" s="80"/>
      <c r="H58" s="80" t="s">
        <v>293</v>
      </c>
      <c r="I58" s="80"/>
    </row>
    <row r="59" spans="1:10" ht="23.25" hidden="1" customHeight="1" thickBot="1" x14ac:dyDescent="0.2">
      <c r="B59" s="91" t="s">
        <v>279</v>
      </c>
      <c r="C59" s="91"/>
      <c r="D59" s="91"/>
      <c r="E59" s="91"/>
      <c r="H59" s="80" t="s">
        <v>293</v>
      </c>
      <c r="I59" s="80"/>
    </row>
    <row r="60" spans="1:10" ht="3.75" customHeight="1" x14ac:dyDescent="0.15"/>
    <row r="61" spans="1:10" x14ac:dyDescent="0.15">
      <c r="B61" t="s">
        <v>310</v>
      </c>
    </row>
    <row r="62" spans="1:10" x14ac:dyDescent="0.15">
      <c r="B62" s="97" t="s">
        <v>395</v>
      </c>
    </row>
    <row r="63" spans="1:10" x14ac:dyDescent="0.15">
      <c r="B63" s="98" t="s">
        <v>311</v>
      </c>
    </row>
    <row r="64" spans="1:10" x14ac:dyDescent="0.15">
      <c r="B64" s="98" t="str">
        <f>"２　選択肢に存在する通貨のレートは、日本銀行が報告する"&amp;YEAR(計算シート!C46)&amp;"年１月分の報告省令レートに基づき当機構が換算します。"</f>
        <v>２　選択肢に存在する通貨のレートは、日本銀行が報告する2022年１月分の報告省令レートに基づき当機構が換算します。</v>
      </c>
    </row>
    <row r="65" spans="1:11" x14ac:dyDescent="0.15">
      <c r="B65" s="152"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選択肢に存在しない通貨については、入力時に米ドルに換算（2022年1月1日時点のレート）して、米ドルを選択して入力してください。</v>
      </c>
    </row>
    <row r="66" spans="1:11" x14ac:dyDescent="0.15">
      <c r="B66" s="152" t="s">
        <v>416</v>
      </c>
      <c r="C66" s="153"/>
      <c r="D66" s="153"/>
      <c r="E66" s="153"/>
      <c r="F66" s="153"/>
      <c r="G66" s="153"/>
      <c r="H66" s="153"/>
    </row>
    <row r="67" spans="1:11" ht="10.5" customHeight="1" x14ac:dyDescent="0.15">
      <c r="A67" s="59"/>
      <c r="B67" s="203" t="s">
        <v>305</v>
      </c>
      <c r="C67" s="59"/>
      <c r="D67" s="59"/>
      <c r="E67" s="59"/>
      <c r="F67" s="59"/>
      <c r="G67" s="59"/>
      <c r="H67" s="59"/>
      <c r="I67" s="59"/>
      <c r="J67" s="59"/>
      <c r="K67" s="59"/>
    </row>
    <row r="68" spans="1:11" ht="13.5" customHeight="1" x14ac:dyDescent="0.15">
      <c r="A68" s="142"/>
      <c r="B68" s="204" t="s">
        <v>417</v>
      </c>
      <c r="C68" s="142"/>
      <c r="D68" s="142"/>
      <c r="E68" s="142"/>
      <c r="F68" s="142"/>
      <c r="G68" s="142"/>
      <c r="H68" s="142"/>
      <c r="I68" s="142"/>
      <c r="J68" s="142"/>
      <c r="K68" s="142"/>
    </row>
    <row r="69" spans="1:11" x14ac:dyDescent="0.15">
      <c r="B69" s="95" t="s">
        <v>301</v>
      </c>
    </row>
    <row r="70" spans="1:11" ht="10.5" customHeight="1" x14ac:dyDescent="0.15">
      <c r="A70" s="94"/>
      <c r="B70" s="132" t="s">
        <v>396</v>
      </c>
      <c r="C70" s="133"/>
      <c r="D70" s="134">
        <f>計算シート!B34</f>
        <v>0</v>
      </c>
      <c r="E70" s="135"/>
      <c r="F70" s="416"/>
      <c r="G70" s="417"/>
      <c r="H70" s="417"/>
      <c r="I70" s="418"/>
    </row>
    <row r="71" spans="1:11" ht="10.5" customHeight="1" x14ac:dyDescent="0.15">
      <c r="A71" s="96"/>
      <c r="B71" s="136" t="s">
        <v>397</v>
      </c>
      <c r="C71" s="137"/>
      <c r="D71" s="138">
        <f>計算シート!C58</f>
        <v>0</v>
      </c>
      <c r="E71" s="139"/>
      <c r="F71" s="140"/>
      <c r="G71" s="140"/>
      <c r="H71" s="138">
        <f>計算シート!D58</f>
        <v>0</v>
      </c>
      <c r="I71" s="141"/>
      <c r="J71" s="59"/>
      <c r="K71" s="59"/>
    </row>
    <row r="72" spans="1:11" ht="10.5" customHeight="1" x14ac:dyDescent="0.15">
      <c r="B72" s="154" t="s">
        <v>398</v>
      </c>
      <c r="C72" s="155"/>
      <c r="D72" s="156">
        <f>計算シート!C41</f>
        <v>0</v>
      </c>
      <c r="E72" s="157"/>
      <c r="F72" s="158"/>
      <c r="G72" s="158"/>
      <c r="H72" s="156">
        <f>計算シート!D41</f>
        <v>0</v>
      </c>
      <c r="I72" s="159"/>
      <c r="J72" s="59"/>
    </row>
    <row r="73" spans="1:11" ht="10.5" customHeight="1" x14ac:dyDescent="0.15">
      <c r="B73" s="160" t="s">
        <v>399</v>
      </c>
      <c r="C73" s="161"/>
      <c r="D73" s="162">
        <f>計算シート!C42</f>
        <v>0</v>
      </c>
      <c r="E73" s="163"/>
      <c r="F73" s="164"/>
      <c r="G73" s="164"/>
      <c r="H73" s="162">
        <f>計算シート!D42</f>
        <v>0</v>
      </c>
      <c r="I73" s="165"/>
      <c r="K73" s="167"/>
    </row>
  </sheetData>
  <sheetProtection algorithmName="SHA-512" hashValue="jo7i1F6YB94qS5ep8FYgkqgdFJcXE6oPFhFmoTL5I+g/pD5pU5J7AriiGlyrZcH+biC4AwK/z6GEcU0TSq6VmA==" saltValue="cI5PIVou6UurSPzHt4mi6w==" spinCount="100000" sheet="1" objects="1" scenarios="1"/>
  <protectedRanges>
    <protectedRange sqref="D10:D14 F11 H10:H12 D20:D27 D31:D36 H31:H35 D39:D44 H39:H44 D47:D55 H47:H55 H8" name="範囲1"/>
  </protectedRanges>
  <mergeCells count="9">
    <mergeCell ref="A1:I1"/>
    <mergeCell ref="B5:I6"/>
    <mergeCell ref="F70:I70"/>
    <mergeCell ref="A46:D46"/>
    <mergeCell ref="E12:G12"/>
    <mergeCell ref="E8:G8"/>
    <mergeCell ref="E14:G14"/>
    <mergeCell ref="E10:G10"/>
    <mergeCell ref="I2:K3"/>
  </mergeCells>
  <phoneticPr fontId="2"/>
  <conditionalFormatting sqref="B36:E36">
    <cfRule type="expression" dxfId="30" priority="17">
      <formula>$D$32="はい"</formula>
    </cfRule>
  </conditionalFormatting>
  <conditionalFormatting sqref="H36">
    <cfRule type="expression" dxfId="29" priority="6">
      <formula>$D$32="はい"</formula>
    </cfRule>
  </conditionalFormatting>
  <conditionalFormatting sqref="G47:I55">
    <cfRule type="expression" dxfId="28" priority="11">
      <formula>$D$32="いいえ"</formula>
    </cfRule>
  </conditionalFormatting>
  <conditionalFormatting sqref="H71:I73">
    <cfRule type="expression" dxfId="27" priority="10">
      <formula>OR($D$32="いいえ",$D$33="いいえ")</formula>
    </cfRule>
  </conditionalFormatting>
  <conditionalFormatting sqref="B24:E27">
    <cfRule type="expression" dxfId="26" priority="9">
      <formula>$D$23="いいえ"</formula>
    </cfRule>
  </conditionalFormatting>
  <conditionalFormatting sqref="B22:D22">
    <cfRule type="expression" dxfId="25" priority="8">
      <formula>$D$21&lt;&gt;"特別の障がい者である"</formula>
    </cfRule>
  </conditionalFormatting>
  <conditionalFormatting sqref="B33:E34">
    <cfRule type="expression" dxfId="24" priority="7">
      <formula>$D$32="いいえ"</formula>
    </cfRule>
  </conditionalFormatting>
  <conditionalFormatting sqref="G38:I44">
    <cfRule type="expression" dxfId="23" priority="5">
      <formula>$D$32="いいえ"</formula>
    </cfRule>
  </conditionalFormatting>
  <conditionalFormatting sqref="G30:I36">
    <cfRule type="expression" dxfId="22" priority="4">
      <formula>$D$32="いいえ"</formula>
    </cfRule>
  </conditionalFormatting>
  <conditionalFormatting sqref="F11">
    <cfRule type="expression" dxfId="21" priority="2">
      <formula>$B$11="申込受付番号"</formula>
    </cfRule>
  </conditionalFormatting>
  <conditionalFormatting sqref="H11">
    <cfRule type="expression" dxfId="20" priority="1">
      <formula>$B$11="申込受付番号"</formula>
    </cfRule>
  </conditionalFormatting>
  <dataValidations count="7">
    <dataValidation type="whole" allowBlank="1" showInputMessage="1" showErrorMessage="1" sqref="H47:H55 D47:D55">
      <formula1>0</formula1>
      <formula2>99</formula2>
    </dataValidation>
    <dataValidation type="decimal" allowBlank="1" showInputMessage="1" showErrorMessage="1" sqref="D25">
      <formula1>0</formula1>
      <formula2>9.99999999999999E+23</formula2>
    </dataValidation>
    <dataValidation type="decimal" allowBlank="1" showInputMessage="1" showErrorMessage="1" sqref="H40 D42 H42 D40">
      <formula1>0</formula1>
      <formula2>999999999999999000000</formula2>
    </dataValidation>
    <dataValidation type="date" allowBlank="1" showInputMessage="1" showErrorMessage="1" sqref="H31 D31">
      <formula1>1</formula1>
      <formula2>73051</formula2>
    </dataValidation>
    <dataValidation type="decimal" allowBlank="1" showInputMessage="1" showErrorMessage="1" sqref="D44 H44 D27">
      <formula1>-999999999999999000000</formula1>
      <formula2>999999999999999000000</formula2>
    </dataValidation>
    <dataValidation type="date" allowBlank="1" showInputMessage="1" showErrorMessage="1" sqref="H12 H8">
      <formula1>1</formula1>
      <formula2>401404</formula2>
    </dataValidation>
    <dataValidation type="whole" allowBlank="1" showInputMessage="1" showErrorMessage="1" sqref="D10">
      <formula1>2000</formula1>
      <formula2>9999</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計算シート!$F$5:$F$7</xm:f>
          </x14:formula1>
          <xm:sqref>D35 H35 D21</xm:sqref>
        </x14:dataValidation>
        <x14:dataValidation type="list" allowBlank="1" showInputMessage="1" showErrorMessage="1">
          <x14:formula1>
            <xm:f>計算シート!$F$3:$F$4</xm:f>
          </x14:formula1>
          <xm:sqref>D32:D34 D22:D23</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計算シート!$F$8:$F$10</xm:f>
          </x14:formula1>
          <xm:sqref>D36</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計算シート!$F$15:$F$19</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topLeftCell="A19" zoomScaleNormal="100" zoomScaleSheetLayoutView="100" workbookViewId="0">
      <selection activeCell="Z46" sqref="Z46"/>
    </sheetView>
  </sheetViews>
  <sheetFormatPr defaultRowHeight="13.5" x14ac:dyDescent="0.15"/>
  <cols>
    <col min="1" max="1" width="3.125" style="236" customWidth="1"/>
    <col min="2" max="2" width="34.625" style="236" customWidth="1"/>
    <col min="3" max="3" width="0.625" style="236" customWidth="1"/>
    <col min="4" max="4" width="16.625" style="236" customWidth="1"/>
    <col min="5" max="5" width="4.75" style="236" bestFit="1" customWidth="1"/>
    <col min="6" max="6" width="4.125" style="236" customWidth="1"/>
    <col min="7" max="7" width="2.5" style="236" customWidth="1"/>
    <col min="8" max="8" width="16.625" style="236" customWidth="1"/>
    <col min="9" max="9" width="4.75" style="236" bestFit="1" customWidth="1"/>
    <col min="10" max="10" width="0.625" style="236" customWidth="1"/>
    <col min="11" max="11" width="4.875" style="236" customWidth="1"/>
    <col min="12" max="21" width="9" style="236"/>
    <col min="22" max="22" width="4.25" style="236" customWidth="1"/>
    <col min="23" max="16384" width="9" style="236"/>
  </cols>
  <sheetData>
    <row r="1" spans="1:22" x14ac:dyDescent="0.15">
      <c r="A1" s="434" t="s">
        <v>506</v>
      </c>
      <c r="B1" s="434"/>
      <c r="C1" s="434"/>
      <c r="D1" s="434"/>
      <c r="E1" s="434"/>
      <c r="F1" s="434"/>
      <c r="G1" s="434"/>
      <c r="H1" s="434"/>
      <c r="I1" s="434"/>
      <c r="K1" s="237"/>
      <c r="L1" s="434" t="s">
        <v>367</v>
      </c>
      <c r="M1" s="434"/>
      <c r="N1" s="434"/>
      <c r="O1" s="434"/>
      <c r="P1" s="434"/>
      <c r="Q1" s="434"/>
      <c r="R1" s="434"/>
      <c r="S1" s="434"/>
      <c r="T1" s="434"/>
      <c r="U1" s="434"/>
      <c r="V1" s="434"/>
    </row>
    <row r="2" spans="1:22" ht="6" customHeight="1" x14ac:dyDescent="0.15">
      <c r="A2" s="238"/>
      <c r="B2" s="238"/>
      <c r="C2" s="238"/>
      <c r="D2" s="238"/>
      <c r="E2" s="238"/>
      <c r="F2" s="238"/>
      <c r="G2" s="238"/>
      <c r="H2" s="238"/>
      <c r="I2" s="238"/>
      <c r="K2" s="237"/>
    </row>
    <row r="3" spans="1:22" x14ac:dyDescent="0.15">
      <c r="A3" s="239" t="s">
        <v>300</v>
      </c>
      <c r="C3" s="238"/>
      <c r="D3" s="238"/>
      <c r="E3" s="238"/>
      <c r="F3" s="238"/>
      <c r="G3" s="238"/>
      <c r="H3" s="238"/>
      <c r="I3" s="238"/>
      <c r="K3" s="237"/>
      <c r="L3" s="391" t="s">
        <v>621</v>
      </c>
      <c r="M3" s="193"/>
      <c r="N3" s="193"/>
      <c r="O3" s="193"/>
      <c r="P3" s="193"/>
      <c r="Q3" s="193"/>
      <c r="R3" s="193"/>
      <c r="S3" s="193"/>
      <c r="T3" s="193"/>
      <c r="U3" s="193"/>
      <c r="V3" s="193"/>
    </row>
    <row r="4" spans="1:22" ht="9.75" customHeight="1" x14ac:dyDescent="0.15">
      <c r="A4" s="238"/>
      <c r="B4" s="239"/>
      <c r="C4" s="238"/>
      <c r="D4" s="238"/>
      <c r="E4" s="238"/>
      <c r="F4" s="238"/>
      <c r="G4" s="238"/>
      <c r="H4" s="238"/>
      <c r="I4" s="238"/>
      <c r="K4" s="237"/>
      <c r="L4" s="429" t="s">
        <v>620</v>
      </c>
      <c r="M4" s="430"/>
      <c r="N4" s="430"/>
      <c r="O4" s="430"/>
      <c r="P4" s="430"/>
      <c r="Q4" s="430"/>
      <c r="R4" s="430"/>
      <c r="S4" s="430"/>
      <c r="T4" s="430"/>
      <c r="U4" s="430"/>
      <c r="V4" s="430"/>
    </row>
    <row r="5" spans="1:22" ht="13.5" customHeight="1" x14ac:dyDescent="0.15">
      <c r="A5" s="238"/>
      <c r="B5" s="436" t="s">
        <v>427</v>
      </c>
      <c r="C5" s="436"/>
      <c r="D5" s="436"/>
      <c r="E5" s="436"/>
      <c r="F5" s="436"/>
      <c r="G5" s="436"/>
      <c r="H5" s="436"/>
      <c r="I5" s="436"/>
      <c r="K5" s="237"/>
      <c r="L5" s="429"/>
      <c r="M5" s="430"/>
      <c r="N5" s="430"/>
      <c r="O5" s="430"/>
      <c r="P5" s="430"/>
      <c r="Q5" s="430"/>
      <c r="R5" s="430"/>
      <c r="S5" s="430"/>
      <c r="T5" s="430"/>
      <c r="U5" s="430"/>
      <c r="V5" s="430"/>
    </row>
    <row r="6" spans="1:22" x14ac:dyDescent="0.15">
      <c r="A6" s="238"/>
      <c r="B6" s="436"/>
      <c r="C6" s="436"/>
      <c r="D6" s="436"/>
      <c r="E6" s="436"/>
      <c r="F6" s="436"/>
      <c r="G6" s="436"/>
      <c r="H6" s="436"/>
      <c r="I6" s="436"/>
      <c r="K6" s="237"/>
      <c r="L6" s="429"/>
      <c r="M6" s="430"/>
      <c r="N6" s="430"/>
      <c r="O6" s="430"/>
      <c r="P6" s="430"/>
      <c r="Q6" s="430"/>
      <c r="R6" s="430"/>
      <c r="S6" s="430"/>
      <c r="T6" s="430"/>
      <c r="U6" s="430"/>
      <c r="V6" s="430"/>
    </row>
    <row r="7" spans="1:22" ht="13.5" customHeight="1" x14ac:dyDescent="0.15">
      <c r="A7" s="238"/>
      <c r="B7" s="240"/>
      <c r="C7" s="240"/>
      <c r="D7" s="240"/>
      <c r="E7" s="240"/>
      <c r="F7" s="240"/>
      <c r="G7" s="240"/>
      <c r="H7" s="240"/>
      <c r="I7" s="240"/>
      <c r="K7" s="237"/>
      <c r="L7" s="429" t="s">
        <v>401</v>
      </c>
      <c r="M7" s="430"/>
      <c r="N7" s="430"/>
      <c r="O7" s="430"/>
      <c r="P7" s="430"/>
      <c r="Q7" s="430"/>
      <c r="R7" s="430"/>
      <c r="S7" s="430"/>
      <c r="T7" s="430"/>
      <c r="U7" s="430"/>
      <c r="V7" s="430"/>
    </row>
    <row r="8" spans="1:22" ht="14.25" thickBot="1" x14ac:dyDescent="0.2">
      <c r="A8" s="238"/>
      <c r="B8" s="240"/>
      <c r="C8" s="240"/>
      <c r="D8" s="240"/>
      <c r="E8" s="435" t="s">
        <v>392</v>
      </c>
      <c r="F8" s="435"/>
      <c r="G8" s="435"/>
      <c r="H8" s="241">
        <v>44044</v>
      </c>
      <c r="I8" s="240"/>
      <c r="K8" s="237"/>
      <c r="L8" s="429"/>
      <c r="M8" s="430"/>
      <c r="N8" s="430"/>
      <c r="O8" s="430"/>
      <c r="P8" s="430"/>
      <c r="Q8" s="430"/>
      <c r="R8" s="430"/>
      <c r="S8" s="430"/>
      <c r="T8" s="430"/>
      <c r="U8" s="430"/>
      <c r="V8" s="430"/>
    </row>
    <row r="9" spans="1:22" ht="13.5" customHeight="1" x14ac:dyDescent="0.15">
      <c r="A9" s="238"/>
      <c r="B9" s="238"/>
      <c r="C9" s="238"/>
      <c r="D9" s="238"/>
      <c r="E9" s="219"/>
      <c r="F9" s="219"/>
      <c r="G9" s="219"/>
      <c r="H9" s="242" t="s">
        <v>391</v>
      </c>
      <c r="I9" s="243"/>
      <c r="K9" s="237"/>
      <c r="L9" s="429" t="s">
        <v>426</v>
      </c>
      <c r="M9" s="430"/>
      <c r="N9" s="430"/>
      <c r="O9" s="430"/>
      <c r="P9" s="430"/>
      <c r="Q9" s="430"/>
      <c r="R9" s="430"/>
      <c r="S9" s="430"/>
      <c r="T9" s="430"/>
      <c r="U9" s="430"/>
      <c r="V9" s="430"/>
    </row>
    <row r="10" spans="1:22" ht="13.5" customHeight="1" thickBot="1" x14ac:dyDescent="0.2">
      <c r="A10" s="238"/>
      <c r="B10" s="244" t="s">
        <v>410</v>
      </c>
      <c r="C10" s="245"/>
      <c r="D10" s="246">
        <v>2020</v>
      </c>
      <c r="E10" s="438" t="s">
        <v>407</v>
      </c>
      <c r="F10" s="438"/>
      <c r="G10" s="438"/>
      <c r="H10" s="247" t="s">
        <v>409</v>
      </c>
      <c r="I10" s="243"/>
      <c r="K10" s="237"/>
      <c r="L10" s="429"/>
      <c r="M10" s="430"/>
      <c r="N10" s="430"/>
      <c r="O10" s="430"/>
      <c r="P10" s="430"/>
      <c r="Q10" s="430"/>
      <c r="R10" s="430"/>
      <c r="S10" s="430"/>
      <c r="T10" s="430"/>
      <c r="U10" s="430"/>
      <c r="V10" s="430"/>
    </row>
    <row r="11" spans="1:22" ht="14.25" customHeight="1" thickBot="1" x14ac:dyDescent="0.2">
      <c r="A11" s="238"/>
      <c r="B11" s="248" t="s">
        <v>428</v>
      </c>
      <c r="C11" s="249"/>
      <c r="D11" s="228"/>
      <c r="E11" s="250"/>
      <c r="F11" s="250"/>
      <c r="G11" s="250"/>
      <c r="H11" s="229"/>
      <c r="I11" s="243"/>
      <c r="K11" s="237"/>
      <c r="L11" s="429"/>
      <c r="M11" s="430"/>
      <c r="N11" s="430"/>
      <c r="O11" s="430"/>
      <c r="P11" s="430"/>
      <c r="Q11" s="430"/>
      <c r="R11" s="430"/>
      <c r="S11" s="430"/>
      <c r="T11" s="430"/>
      <c r="U11" s="430"/>
      <c r="V11" s="430"/>
    </row>
    <row r="12" spans="1:22" ht="14.25" customHeight="1" thickBot="1" x14ac:dyDescent="0.2">
      <c r="B12" s="248" t="s">
        <v>429</v>
      </c>
      <c r="C12" s="249"/>
      <c r="D12" s="249" t="s">
        <v>376</v>
      </c>
      <c r="E12" s="437" t="s">
        <v>393</v>
      </c>
      <c r="F12" s="437"/>
      <c r="G12" s="437"/>
      <c r="H12" s="241">
        <v>37072</v>
      </c>
      <c r="K12" s="237"/>
      <c r="L12" s="429" t="s">
        <v>423</v>
      </c>
      <c r="M12" s="430"/>
      <c r="N12" s="430"/>
      <c r="O12" s="430"/>
      <c r="P12" s="430"/>
      <c r="Q12" s="430"/>
      <c r="R12" s="430"/>
      <c r="S12" s="430"/>
      <c r="T12" s="430"/>
      <c r="U12" s="430"/>
      <c r="V12" s="430"/>
    </row>
    <row r="13" spans="1:22" ht="14.25" customHeight="1" thickBot="1" x14ac:dyDescent="0.2">
      <c r="B13" s="251" t="s">
        <v>276</v>
      </c>
      <c r="C13" s="195"/>
      <c r="D13" s="195" t="s">
        <v>377</v>
      </c>
      <c r="E13" s="219"/>
      <c r="F13" s="219"/>
      <c r="G13" s="219"/>
      <c r="H13" s="242" t="s">
        <v>391</v>
      </c>
      <c r="K13" s="237"/>
      <c r="L13" s="429"/>
      <c r="M13" s="430"/>
      <c r="N13" s="430"/>
      <c r="O13" s="430"/>
      <c r="P13" s="430"/>
      <c r="Q13" s="430"/>
      <c r="R13" s="430"/>
      <c r="S13" s="430"/>
      <c r="T13" s="430"/>
      <c r="U13" s="430"/>
      <c r="V13" s="430"/>
    </row>
    <row r="14" spans="1:22" ht="14.25" customHeight="1" thickBot="1" x14ac:dyDescent="0.2">
      <c r="B14" s="251" t="s">
        <v>277</v>
      </c>
      <c r="C14" s="195"/>
      <c r="D14" s="195" t="s">
        <v>378</v>
      </c>
      <c r="E14" s="205"/>
      <c r="F14" s="205"/>
      <c r="G14" s="205"/>
      <c r="H14" s="205"/>
      <c r="K14" s="237"/>
      <c r="L14" s="429"/>
      <c r="M14" s="430"/>
      <c r="N14" s="430"/>
      <c r="O14" s="430"/>
      <c r="P14" s="430"/>
      <c r="Q14" s="430"/>
      <c r="R14" s="430"/>
      <c r="S14" s="430"/>
      <c r="T14" s="430"/>
      <c r="U14" s="430"/>
      <c r="V14" s="430"/>
    </row>
    <row r="15" spans="1:22" x14ac:dyDescent="0.15">
      <c r="B15" s="252" t="str">
        <f>"※ 以下、収入（所得）は【"&amp;IF(計算シート!C49=1,計算シート!C47,計算シート!C48)&amp;"年1月1日～12月31日】のものを入力してください。"</f>
        <v>※ 以下、収入（所得）は【2021年1月1日～12月31日】のものを入力してください。</v>
      </c>
      <c r="C15" s="219"/>
      <c r="D15" s="219"/>
      <c r="E15" s="205"/>
      <c r="F15" s="205"/>
      <c r="G15" s="205"/>
      <c r="H15" s="205"/>
      <c r="K15" s="237"/>
      <c r="L15" s="429" t="s">
        <v>368</v>
      </c>
      <c r="M15" s="430"/>
      <c r="N15" s="430"/>
      <c r="O15" s="430"/>
      <c r="P15" s="430"/>
      <c r="Q15" s="430"/>
      <c r="R15" s="430"/>
      <c r="S15" s="430"/>
      <c r="T15" s="430"/>
      <c r="U15" s="430"/>
      <c r="V15" s="430"/>
    </row>
    <row r="16" spans="1:22" x14ac:dyDescent="0.15">
      <c r="B16" s="252" t="str">
        <f>"    扶養等の情報は【"&amp;IF(計算シート!C49=1,計算シート!C47,計算シート!C48)&amp;"年12月31日】現在のものを入力してください。"</f>
        <v xml:space="preserve">    扶養等の情報は【2021年12月31日】現在のものを入力してください。</v>
      </c>
      <c r="C16" s="219"/>
      <c r="D16" s="219"/>
      <c r="E16" s="205"/>
      <c r="F16" s="205"/>
      <c r="G16" s="205"/>
      <c r="H16" s="205"/>
      <c r="K16" s="237"/>
      <c r="L16" s="429"/>
      <c r="M16" s="430"/>
      <c r="N16" s="430"/>
      <c r="O16" s="430"/>
      <c r="P16" s="430"/>
      <c r="Q16" s="430"/>
      <c r="R16" s="430"/>
      <c r="S16" s="430"/>
      <c r="T16" s="430"/>
      <c r="U16" s="430"/>
      <c r="V16" s="430"/>
    </row>
    <row r="17" spans="1:22" ht="7.5" customHeight="1" thickBot="1" x14ac:dyDescent="0.2">
      <c r="A17" s="253"/>
      <c r="B17" s="253"/>
      <c r="C17" s="253"/>
      <c r="D17" s="253"/>
      <c r="E17" s="253"/>
      <c r="K17" s="237"/>
      <c r="L17" s="429"/>
      <c r="M17" s="430"/>
      <c r="N17" s="430"/>
      <c r="O17" s="430"/>
      <c r="P17" s="430"/>
      <c r="Q17" s="430"/>
      <c r="R17" s="430"/>
      <c r="S17" s="430"/>
      <c r="T17" s="430"/>
      <c r="U17" s="430"/>
      <c r="V17" s="430"/>
    </row>
    <row r="18" spans="1:22" s="257" customFormat="1" ht="15.6" customHeight="1" thickTop="1" x14ac:dyDescent="0.15">
      <c r="A18" s="254" t="s">
        <v>421</v>
      </c>
      <c r="B18" s="255"/>
      <c r="C18" s="255"/>
      <c r="D18" s="255"/>
      <c r="E18" s="256"/>
      <c r="G18" s="258" t="s">
        <v>379</v>
      </c>
      <c r="H18" s="259"/>
      <c r="I18" s="256"/>
      <c r="K18" s="260"/>
      <c r="L18" s="429"/>
      <c r="M18" s="430"/>
      <c r="N18" s="430"/>
      <c r="O18" s="430"/>
      <c r="P18" s="430"/>
      <c r="Q18" s="430"/>
      <c r="R18" s="430"/>
      <c r="S18" s="430"/>
      <c r="T18" s="430"/>
      <c r="U18" s="430"/>
      <c r="V18" s="430"/>
    </row>
    <row r="19" spans="1:22" s="257" customFormat="1" ht="12.95" customHeight="1" thickBot="1" x14ac:dyDescent="0.2">
      <c r="A19" s="261" t="s">
        <v>319</v>
      </c>
      <c r="B19" s="262" t="s">
        <v>413</v>
      </c>
      <c r="C19" s="387"/>
      <c r="D19" s="388">
        <f>H12</f>
        <v>37072</v>
      </c>
      <c r="E19" s="267"/>
      <c r="G19" s="265" t="s">
        <v>380</v>
      </c>
      <c r="H19" s="266"/>
      <c r="I19" s="267"/>
      <c r="K19" s="260"/>
      <c r="L19" s="390" t="s">
        <v>622</v>
      </c>
      <c r="M19" s="214"/>
      <c r="N19" s="214"/>
      <c r="O19" s="214"/>
      <c r="P19" s="214"/>
      <c r="Q19" s="214"/>
      <c r="R19" s="214"/>
      <c r="S19" s="214"/>
      <c r="T19" s="214"/>
      <c r="U19" s="214"/>
      <c r="V19" s="214"/>
    </row>
    <row r="20" spans="1:22" s="257" customFormat="1" ht="12.95" customHeight="1" thickBot="1" x14ac:dyDescent="0.2">
      <c r="A20" s="268" t="s">
        <v>320</v>
      </c>
      <c r="B20" s="269" t="s">
        <v>295</v>
      </c>
      <c r="D20" s="270" t="s">
        <v>38</v>
      </c>
      <c r="E20" s="267"/>
      <c r="G20" s="265" t="s">
        <v>381</v>
      </c>
      <c r="H20" s="266"/>
      <c r="I20" s="267"/>
      <c r="K20" s="260"/>
      <c r="L20" s="283" t="s">
        <v>623</v>
      </c>
      <c r="M20" s="214"/>
      <c r="N20" s="214"/>
      <c r="O20" s="214"/>
      <c r="P20" s="214"/>
      <c r="Q20" s="214"/>
      <c r="R20" s="214"/>
      <c r="S20" s="214"/>
      <c r="T20" s="214"/>
      <c r="U20" s="214"/>
      <c r="V20" s="214"/>
    </row>
    <row r="21" spans="1:22" s="257" customFormat="1" ht="12.95" customHeight="1" thickBot="1" x14ac:dyDescent="0.2">
      <c r="A21" s="268" t="s">
        <v>321</v>
      </c>
      <c r="B21" s="257" t="s">
        <v>296</v>
      </c>
      <c r="C21" s="271"/>
      <c r="D21" s="272" t="s">
        <v>266</v>
      </c>
      <c r="E21" s="267"/>
      <c r="G21" s="265" t="s">
        <v>382</v>
      </c>
      <c r="H21" s="266"/>
      <c r="I21" s="267"/>
      <c r="K21" s="260"/>
      <c r="L21" s="390" t="s">
        <v>624</v>
      </c>
      <c r="M21" s="214"/>
      <c r="N21" s="214"/>
      <c r="O21" s="214"/>
      <c r="P21" s="214"/>
      <c r="Q21" s="214"/>
      <c r="R21" s="214"/>
      <c r="S21" s="214"/>
      <c r="T21" s="214"/>
      <c r="U21" s="214"/>
      <c r="V21" s="214"/>
    </row>
    <row r="22" spans="1:22" s="257" customFormat="1" ht="12.95" customHeight="1" thickBot="1" x14ac:dyDescent="0.2">
      <c r="A22" s="268" t="s">
        <v>322</v>
      </c>
      <c r="B22" s="273" t="s">
        <v>297</v>
      </c>
      <c r="C22" s="271"/>
      <c r="D22" s="274" t="s">
        <v>42</v>
      </c>
      <c r="E22" s="267"/>
      <c r="G22" s="275">
        <v>1</v>
      </c>
      <c r="H22" s="276" t="s">
        <v>383</v>
      </c>
      <c r="I22" s="277" t="s">
        <v>384</v>
      </c>
      <c r="K22" s="260"/>
      <c r="L22" s="390" t="s">
        <v>629</v>
      </c>
      <c r="M22" s="214"/>
      <c r="N22" s="214"/>
      <c r="O22" s="214"/>
      <c r="P22" s="214"/>
      <c r="Q22" s="214"/>
      <c r="R22" s="214"/>
      <c r="S22" s="214"/>
      <c r="T22" s="214"/>
      <c r="U22" s="214"/>
      <c r="V22" s="214"/>
    </row>
    <row r="23" spans="1:22" s="257" customFormat="1" ht="12.95" customHeight="1" thickBot="1" x14ac:dyDescent="0.2">
      <c r="A23" s="268" t="s">
        <v>323</v>
      </c>
      <c r="B23" s="278" t="s">
        <v>430</v>
      </c>
      <c r="C23" s="279"/>
      <c r="D23" s="270" t="s">
        <v>40</v>
      </c>
      <c r="E23" s="267"/>
      <c r="G23" s="275">
        <v>2</v>
      </c>
      <c r="H23" s="280" t="s">
        <v>390</v>
      </c>
      <c r="I23" s="277" t="s">
        <v>509</v>
      </c>
      <c r="K23" s="260"/>
      <c r="L23" s="390" t="s">
        <v>625</v>
      </c>
      <c r="M23" s="214"/>
      <c r="N23" s="214"/>
      <c r="O23" s="214"/>
      <c r="P23" s="214"/>
      <c r="Q23" s="214"/>
      <c r="R23" s="214"/>
      <c r="S23" s="214"/>
      <c r="T23" s="214"/>
      <c r="U23" s="214"/>
      <c r="V23" s="214"/>
    </row>
    <row r="24" spans="1:22" s="257" customFormat="1" ht="12.95" customHeight="1" thickBot="1" x14ac:dyDescent="0.2">
      <c r="A24" s="268" t="s">
        <v>324</v>
      </c>
      <c r="B24" s="281" t="s">
        <v>280</v>
      </c>
      <c r="C24" s="279"/>
      <c r="D24" s="274" t="s">
        <v>49</v>
      </c>
      <c r="E24" s="267"/>
      <c r="G24" s="275">
        <v>3</v>
      </c>
      <c r="H24" s="276" t="s">
        <v>389</v>
      </c>
      <c r="I24" s="277" t="s">
        <v>509</v>
      </c>
      <c r="K24" s="260"/>
      <c r="L24" s="429" t="s">
        <v>630</v>
      </c>
      <c r="M24" s="430"/>
      <c r="N24" s="430"/>
      <c r="O24" s="430"/>
      <c r="P24" s="430"/>
      <c r="Q24" s="430"/>
      <c r="R24" s="430"/>
      <c r="S24" s="430"/>
      <c r="T24" s="430"/>
      <c r="U24" s="430"/>
      <c r="V24" s="430"/>
    </row>
    <row r="25" spans="1:22" s="257" customFormat="1" ht="12.95" customHeight="1" thickBot="1" x14ac:dyDescent="0.2">
      <c r="A25" s="268" t="s">
        <v>325</v>
      </c>
      <c r="B25" s="257" t="s">
        <v>281</v>
      </c>
      <c r="D25" s="282">
        <v>0</v>
      </c>
      <c r="E25" s="264" t="s">
        <v>510</v>
      </c>
      <c r="G25" s="275">
        <v>4</v>
      </c>
      <c r="H25" s="276" t="s">
        <v>388</v>
      </c>
      <c r="I25" s="277" t="s">
        <v>511</v>
      </c>
      <c r="K25" s="260"/>
      <c r="L25" s="429"/>
      <c r="M25" s="430"/>
      <c r="N25" s="430"/>
      <c r="O25" s="430"/>
      <c r="P25" s="430"/>
      <c r="Q25" s="430"/>
      <c r="R25" s="430"/>
      <c r="S25" s="430"/>
      <c r="T25" s="430"/>
      <c r="U25" s="430"/>
      <c r="V25" s="430"/>
    </row>
    <row r="26" spans="1:22" s="257" customFormat="1" ht="12.95" customHeight="1" thickBot="1" x14ac:dyDescent="0.2">
      <c r="A26" s="268" t="s">
        <v>326</v>
      </c>
      <c r="B26" s="284" t="s">
        <v>308</v>
      </c>
      <c r="C26" s="279"/>
      <c r="D26" s="274" t="s">
        <v>49</v>
      </c>
      <c r="E26" s="267"/>
      <c r="G26" s="275">
        <v>5</v>
      </c>
      <c r="H26" s="276" t="s">
        <v>387</v>
      </c>
      <c r="I26" s="277" t="s">
        <v>509</v>
      </c>
      <c r="K26" s="260"/>
      <c r="L26" s="429"/>
      <c r="M26" s="430"/>
      <c r="N26" s="430"/>
      <c r="O26" s="430"/>
      <c r="P26" s="430"/>
      <c r="Q26" s="430"/>
      <c r="R26" s="430"/>
      <c r="S26" s="430"/>
      <c r="T26" s="430"/>
      <c r="U26" s="430"/>
      <c r="V26" s="430"/>
    </row>
    <row r="27" spans="1:22" s="257" customFormat="1" ht="12.95" customHeight="1" thickBot="1" x14ac:dyDescent="0.2">
      <c r="A27" s="285" t="s">
        <v>327</v>
      </c>
      <c r="B27" s="286" t="s">
        <v>309</v>
      </c>
      <c r="C27" s="287"/>
      <c r="D27" s="282">
        <v>0</v>
      </c>
      <c r="E27" s="288" t="s">
        <v>510</v>
      </c>
      <c r="G27" s="289"/>
      <c r="H27" s="290"/>
      <c r="I27" s="291"/>
      <c r="K27" s="260"/>
      <c r="L27" s="429"/>
      <c r="M27" s="430"/>
      <c r="N27" s="430"/>
      <c r="O27" s="430"/>
      <c r="P27" s="430"/>
      <c r="Q27" s="430"/>
      <c r="R27" s="430"/>
      <c r="S27" s="430"/>
      <c r="T27" s="430"/>
      <c r="U27" s="430"/>
      <c r="V27" s="430"/>
    </row>
    <row r="28" spans="1:22" s="257" customFormat="1" ht="3" customHeight="1" thickTop="1" x14ac:dyDescent="0.15">
      <c r="K28" s="260"/>
      <c r="L28" s="292"/>
      <c r="M28" s="193"/>
      <c r="N28" s="193"/>
      <c r="O28" s="193"/>
      <c r="P28" s="193"/>
      <c r="Q28" s="193"/>
      <c r="R28" s="193"/>
      <c r="S28" s="193"/>
      <c r="T28" s="193"/>
      <c r="U28" s="193"/>
      <c r="V28" s="193"/>
    </row>
    <row r="29" spans="1:22" s="257" customFormat="1" ht="14.1" customHeight="1" thickBot="1" x14ac:dyDescent="0.2">
      <c r="A29" s="293"/>
      <c r="B29" s="293"/>
      <c r="C29" s="294"/>
      <c r="D29" s="295" t="s">
        <v>38</v>
      </c>
      <c r="E29" s="296"/>
      <c r="F29" s="293"/>
      <c r="G29" s="294"/>
      <c r="H29" s="297" t="s">
        <v>512</v>
      </c>
      <c r="I29" s="298"/>
      <c r="J29" s="299"/>
      <c r="K29" s="260"/>
      <c r="L29" s="292"/>
      <c r="M29" s="292"/>
      <c r="N29" s="193"/>
      <c r="O29" s="193"/>
      <c r="P29" s="193"/>
      <c r="Q29" s="193"/>
      <c r="R29" s="193"/>
      <c r="S29" s="193"/>
      <c r="T29" s="193"/>
      <c r="U29" s="193"/>
      <c r="V29" s="193"/>
    </row>
    <row r="30" spans="1:22" s="257" customFormat="1" ht="15.6" customHeight="1" thickTop="1" thickBot="1" x14ac:dyDescent="0.2">
      <c r="A30" s="258" t="s">
        <v>282</v>
      </c>
      <c r="B30" s="266"/>
      <c r="C30" s="300"/>
      <c r="D30" s="266"/>
      <c r="E30" s="301"/>
      <c r="F30" s="266"/>
      <c r="G30" s="300"/>
      <c r="H30" s="302" t="s">
        <v>511</v>
      </c>
      <c r="I30" s="256"/>
      <c r="J30" s="303"/>
      <c r="K30" s="260"/>
      <c r="M30" s="292"/>
      <c r="N30" s="193"/>
      <c r="O30" s="193"/>
      <c r="P30" s="193"/>
      <c r="Q30" s="193"/>
      <c r="R30" s="193"/>
      <c r="S30" s="193"/>
      <c r="T30" s="193"/>
      <c r="U30" s="193"/>
      <c r="V30" s="193"/>
    </row>
    <row r="31" spans="1:22" s="257" customFormat="1" ht="12.95" customHeight="1" thickBot="1" x14ac:dyDescent="0.2">
      <c r="A31" s="304" t="s">
        <v>328</v>
      </c>
      <c r="B31" s="262" t="s">
        <v>412</v>
      </c>
      <c r="C31" s="305"/>
      <c r="D31" s="263">
        <v>22037</v>
      </c>
      <c r="E31" s="303"/>
      <c r="F31" s="306" t="s">
        <v>334</v>
      </c>
      <c r="G31" s="300"/>
      <c r="H31" s="263">
        <v>22037</v>
      </c>
      <c r="I31" s="264"/>
      <c r="J31" s="303"/>
      <c r="K31" s="260"/>
      <c r="L31" s="292"/>
      <c r="M31" s="292"/>
      <c r="N31" s="193"/>
      <c r="O31" s="193"/>
      <c r="P31" s="193"/>
      <c r="Q31" s="193"/>
      <c r="R31" s="193"/>
      <c r="S31" s="193"/>
      <c r="T31" s="193"/>
      <c r="U31" s="193"/>
      <c r="V31" s="193"/>
    </row>
    <row r="32" spans="1:22" s="257" customFormat="1" ht="12.95" customHeight="1" thickBot="1" x14ac:dyDescent="0.2">
      <c r="A32" s="307" t="s">
        <v>329</v>
      </c>
      <c r="B32" s="281" t="s">
        <v>312</v>
      </c>
      <c r="C32" s="305"/>
      <c r="D32" s="270" t="s">
        <v>40</v>
      </c>
      <c r="E32" s="301"/>
      <c r="F32" s="308"/>
      <c r="G32" s="300"/>
      <c r="H32" s="309"/>
      <c r="I32" s="267"/>
      <c r="J32" s="303"/>
      <c r="K32" s="260"/>
      <c r="L32" s="429" t="s">
        <v>424</v>
      </c>
      <c r="M32" s="431"/>
      <c r="N32" s="431"/>
      <c r="O32" s="431"/>
      <c r="P32" s="431"/>
      <c r="Q32" s="431"/>
      <c r="R32" s="431"/>
      <c r="S32" s="431"/>
      <c r="T32" s="431"/>
      <c r="U32" s="431"/>
      <c r="V32" s="431"/>
    </row>
    <row r="33" spans="1:22" s="257" customFormat="1" ht="12.95" customHeight="1" thickBot="1" x14ac:dyDescent="0.2">
      <c r="A33" s="307" t="s">
        <v>330</v>
      </c>
      <c r="B33" s="281" t="s">
        <v>431</v>
      </c>
      <c r="C33" s="305"/>
      <c r="D33" s="270" t="s">
        <v>40</v>
      </c>
      <c r="E33" s="301"/>
      <c r="F33" s="308"/>
      <c r="G33" s="300"/>
      <c r="H33" s="309"/>
      <c r="I33" s="267"/>
      <c r="J33" s="303"/>
      <c r="K33" s="260"/>
      <c r="L33" s="429"/>
      <c r="M33" s="431"/>
      <c r="N33" s="431"/>
      <c r="O33" s="431"/>
      <c r="P33" s="431"/>
      <c r="Q33" s="431"/>
      <c r="R33" s="431"/>
      <c r="S33" s="431"/>
      <c r="T33" s="431"/>
      <c r="U33" s="431"/>
      <c r="V33" s="431"/>
    </row>
    <row r="34" spans="1:22" s="257" customFormat="1" ht="12.95" customHeight="1" thickBot="1" x14ac:dyDescent="0.2">
      <c r="A34" s="307" t="s">
        <v>331</v>
      </c>
      <c r="B34" s="310" t="s">
        <v>315</v>
      </c>
      <c r="C34" s="311"/>
      <c r="D34" s="270" t="s">
        <v>40</v>
      </c>
      <c r="E34" s="301"/>
      <c r="F34" s="308"/>
      <c r="G34" s="300"/>
      <c r="H34" s="266"/>
      <c r="I34" s="267"/>
      <c r="J34" s="303"/>
      <c r="K34" s="260"/>
      <c r="L34" s="429"/>
      <c r="M34" s="431"/>
      <c r="N34" s="431"/>
      <c r="O34" s="431"/>
      <c r="P34" s="431"/>
      <c r="Q34" s="431"/>
      <c r="R34" s="431"/>
      <c r="S34" s="431"/>
      <c r="T34" s="431"/>
      <c r="U34" s="431"/>
      <c r="V34" s="431"/>
    </row>
    <row r="35" spans="1:22" s="257" customFormat="1" ht="12.95" customHeight="1" thickBot="1" x14ac:dyDescent="0.2">
      <c r="A35" s="307" t="s">
        <v>332</v>
      </c>
      <c r="B35" s="281" t="s">
        <v>296</v>
      </c>
      <c r="C35" s="305"/>
      <c r="D35" s="312" t="s">
        <v>44</v>
      </c>
      <c r="E35" s="301"/>
      <c r="F35" s="313" t="s">
        <v>335</v>
      </c>
      <c r="G35" s="300"/>
      <c r="H35" s="312" t="s">
        <v>44</v>
      </c>
      <c r="I35" s="267"/>
      <c r="J35" s="303"/>
      <c r="K35" s="260"/>
      <c r="L35" s="292" t="s">
        <v>374</v>
      </c>
      <c r="M35" s="292"/>
      <c r="N35" s="292"/>
      <c r="O35" s="292"/>
      <c r="P35" s="292"/>
      <c r="Q35" s="292"/>
      <c r="R35" s="292"/>
      <c r="S35" s="292"/>
      <c r="T35" s="292"/>
      <c r="U35" s="292"/>
      <c r="V35" s="292"/>
    </row>
    <row r="36" spans="1:22" s="257" customFormat="1" ht="12.95" customHeight="1" thickBot="1" x14ac:dyDescent="0.2">
      <c r="A36" s="314" t="s">
        <v>333</v>
      </c>
      <c r="B36" s="286" t="str">
        <f>IF(計算シート!C50=0,"寡婦または寡夫ですか","ひとり親ですか")</f>
        <v>ひとり親ですか</v>
      </c>
      <c r="C36" s="315"/>
      <c r="D36" s="312" t="s">
        <v>46</v>
      </c>
      <c r="E36" s="316"/>
      <c r="F36" s="290"/>
      <c r="G36" s="317"/>
      <c r="H36" s="318"/>
      <c r="I36" s="291"/>
      <c r="J36" s="303"/>
      <c r="K36" s="260"/>
      <c r="L36" s="292" t="s">
        <v>631</v>
      </c>
      <c r="M36" s="292"/>
      <c r="N36" s="292"/>
      <c r="O36" s="292"/>
      <c r="P36" s="292"/>
      <c r="Q36" s="292"/>
      <c r="R36" s="292"/>
      <c r="S36" s="292"/>
      <c r="T36" s="292"/>
      <c r="U36" s="292"/>
      <c r="V36" s="292"/>
    </row>
    <row r="37" spans="1:22" s="326" customFormat="1" ht="11.25" customHeight="1" thickTop="1" thickBot="1" x14ac:dyDescent="0.2">
      <c r="A37" s="319" t="s">
        <v>515</v>
      </c>
      <c r="B37" s="320"/>
      <c r="C37" s="321"/>
      <c r="D37" s="320"/>
      <c r="E37" s="322"/>
      <c r="F37" s="320"/>
      <c r="G37" s="321"/>
      <c r="H37" s="323"/>
      <c r="I37" s="320"/>
      <c r="J37" s="324"/>
      <c r="K37" s="325"/>
      <c r="L37" s="292"/>
      <c r="M37" s="292"/>
      <c r="N37" s="292"/>
      <c r="O37" s="292"/>
      <c r="P37" s="292"/>
      <c r="Q37" s="292"/>
      <c r="R37" s="292"/>
      <c r="S37" s="292"/>
      <c r="T37" s="292"/>
      <c r="U37" s="292"/>
      <c r="V37" s="292"/>
    </row>
    <row r="38" spans="1:22" s="257" customFormat="1" ht="15.6" customHeight="1" thickTop="1" thickBot="1" x14ac:dyDescent="0.2">
      <c r="A38" s="258" t="s">
        <v>283</v>
      </c>
      <c r="B38" s="266"/>
      <c r="C38" s="300"/>
      <c r="D38" s="266"/>
      <c r="E38" s="301"/>
      <c r="F38" s="266"/>
      <c r="G38" s="300"/>
      <c r="H38" s="302" t="s">
        <v>511</v>
      </c>
      <c r="I38" s="256"/>
      <c r="J38" s="303"/>
      <c r="K38" s="260"/>
      <c r="L38" s="429" t="s">
        <v>432</v>
      </c>
      <c r="M38" s="431"/>
      <c r="N38" s="431"/>
      <c r="O38" s="431"/>
      <c r="P38" s="431"/>
      <c r="Q38" s="431"/>
      <c r="R38" s="431"/>
      <c r="S38" s="431"/>
      <c r="T38" s="431"/>
      <c r="U38" s="431"/>
      <c r="V38" s="431"/>
    </row>
    <row r="39" spans="1:22" s="257" customFormat="1" ht="12.95" customHeight="1" thickBot="1" x14ac:dyDescent="0.2">
      <c r="A39" s="304" t="s">
        <v>336</v>
      </c>
      <c r="B39" s="281" t="s">
        <v>272</v>
      </c>
      <c r="C39" s="305"/>
      <c r="D39" s="274" t="s">
        <v>369</v>
      </c>
      <c r="E39" s="301"/>
      <c r="F39" s="306" t="s">
        <v>342</v>
      </c>
      <c r="G39" s="300"/>
      <c r="H39" s="274" t="s">
        <v>49</v>
      </c>
      <c r="I39" s="267"/>
      <c r="J39" s="303"/>
      <c r="K39" s="260"/>
      <c r="L39" s="429"/>
      <c r="M39" s="431"/>
      <c r="N39" s="431"/>
      <c r="O39" s="431"/>
      <c r="P39" s="431"/>
      <c r="Q39" s="431"/>
      <c r="R39" s="431"/>
      <c r="S39" s="431"/>
      <c r="T39" s="431"/>
      <c r="U39" s="431"/>
      <c r="V39" s="431"/>
    </row>
    <row r="40" spans="1:22" s="257" customFormat="1" ht="12.95" customHeight="1" thickBot="1" x14ac:dyDescent="0.2">
      <c r="A40" s="307" t="s">
        <v>337</v>
      </c>
      <c r="B40" s="281" t="s">
        <v>274</v>
      </c>
      <c r="C40" s="305"/>
      <c r="D40" s="282">
        <v>42000</v>
      </c>
      <c r="E40" s="303" t="s">
        <v>514</v>
      </c>
      <c r="F40" s="313" t="s">
        <v>343</v>
      </c>
      <c r="G40" s="300"/>
      <c r="H40" s="282">
        <v>2700000</v>
      </c>
      <c r="I40" s="264" t="s">
        <v>510</v>
      </c>
      <c r="J40" s="303"/>
      <c r="K40" s="260"/>
      <c r="L40" s="429"/>
      <c r="M40" s="431"/>
      <c r="N40" s="431"/>
      <c r="O40" s="431"/>
      <c r="P40" s="431"/>
      <c r="Q40" s="431"/>
      <c r="R40" s="431"/>
      <c r="S40" s="431"/>
      <c r="T40" s="431"/>
      <c r="U40" s="431"/>
      <c r="V40" s="431"/>
    </row>
    <row r="41" spans="1:22" s="257" customFormat="1" ht="12.95" customHeight="1" thickBot="1" x14ac:dyDescent="0.2">
      <c r="A41" s="307" t="s">
        <v>338</v>
      </c>
      <c r="B41" s="281" t="s">
        <v>273</v>
      </c>
      <c r="C41" s="305"/>
      <c r="D41" s="274" t="s">
        <v>369</v>
      </c>
      <c r="E41" s="301"/>
      <c r="F41" s="313" t="s">
        <v>344</v>
      </c>
      <c r="G41" s="300"/>
      <c r="H41" s="274" t="s">
        <v>49</v>
      </c>
      <c r="I41" s="267"/>
      <c r="J41" s="303"/>
      <c r="K41" s="260"/>
      <c r="L41" s="429"/>
      <c r="M41" s="431"/>
      <c r="N41" s="431"/>
      <c r="O41" s="431"/>
      <c r="P41" s="431"/>
      <c r="Q41" s="431"/>
      <c r="R41" s="431"/>
      <c r="S41" s="431"/>
      <c r="T41" s="431"/>
      <c r="U41" s="431"/>
      <c r="V41" s="431"/>
    </row>
    <row r="42" spans="1:22" s="257" customFormat="1" ht="12.95" customHeight="1" thickBot="1" x14ac:dyDescent="0.2">
      <c r="A42" s="307" t="s">
        <v>339</v>
      </c>
      <c r="B42" s="281" t="s">
        <v>275</v>
      </c>
      <c r="C42" s="305"/>
      <c r="D42" s="282">
        <v>0</v>
      </c>
      <c r="E42" s="303" t="s">
        <v>514</v>
      </c>
      <c r="F42" s="313" t="s">
        <v>345</v>
      </c>
      <c r="G42" s="300"/>
      <c r="H42" s="282">
        <v>0</v>
      </c>
      <c r="I42" s="327" t="s">
        <v>510</v>
      </c>
      <c r="J42" s="303"/>
      <c r="K42" s="260"/>
      <c r="L42" s="429"/>
      <c r="M42" s="431"/>
      <c r="N42" s="431"/>
      <c r="O42" s="431"/>
      <c r="P42" s="431"/>
      <c r="Q42" s="431"/>
      <c r="R42" s="431"/>
      <c r="S42" s="431"/>
      <c r="T42" s="431"/>
      <c r="U42" s="431"/>
      <c r="V42" s="431"/>
    </row>
    <row r="43" spans="1:22" s="257" customFormat="1" ht="12.95" customHeight="1" thickBot="1" x14ac:dyDescent="0.2">
      <c r="A43" s="307" t="s">
        <v>340</v>
      </c>
      <c r="B43" s="262" t="s">
        <v>306</v>
      </c>
      <c r="C43" s="305"/>
      <c r="D43" s="274" t="s">
        <v>369</v>
      </c>
      <c r="E43" s="301"/>
      <c r="F43" s="313" t="s">
        <v>346</v>
      </c>
      <c r="G43" s="300"/>
      <c r="H43" s="274" t="s">
        <v>49</v>
      </c>
      <c r="I43" s="328"/>
      <c r="J43" s="303"/>
      <c r="K43" s="260"/>
      <c r="L43" s="429"/>
      <c r="M43" s="431"/>
      <c r="N43" s="431"/>
      <c r="O43" s="431"/>
      <c r="P43" s="431"/>
      <c r="Q43" s="431"/>
      <c r="R43" s="431"/>
      <c r="S43" s="431"/>
      <c r="T43" s="431"/>
      <c r="U43" s="431"/>
      <c r="V43" s="431"/>
    </row>
    <row r="44" spans="1:22" s="257" customFormat="1" ht="12.95" customHeight="1" thickBot="1" x14ac:dyDescent="0.2">
      <c r="A44" s="314" t="s">
        <v>341</v>
      </c>
      <c r="B44" s="329" t="s">
        <v>307</v>
      </c>
      <c r="C44" s="330"/>
      <c r="D44" s="282">
        <v>3500</v>
      </c>
      <c r="E44" s="316" t="s">
        <v>514</v>
      </c>
      <c r="F44" s="331" t="s">
        <v>347</v>
      </c>
      <c r="G44" s="332"/>
      <c r="H44" s="282">
        <v>0</v>
      </c>
      <c r="I44" s="327" t="s">
        <v>510</v>
      </c>
      <c r="J44" s="303"/>
      <c r="K44" s="260"/>
      <c r="L44" s="429"/>
      <c r="M44" s="431"/>
      <c r="N44" s="431"/>
      <c r="O44" s="431"/>
      <c r="P44" s="431"/>
      <c r="Q44" s="431"/>
      <c r="R44" s="431"/>
      <c r="S44" s="431"/>
      <c r="T44" s="431"/>
      <c r="U44" s="431"/>
      <c r="V44" s="431"/>
    </row>
    <row r="45" spans="1:22" s="257" customFormat="1" ht="7.5" customHeight="1" thickTop="1" thickBot="1" x14ac:dyDescent="0.2">
      <c r="A45" s="293"/>
      <c r="B45" s="293"/>
      <c r="C45" s="333"/>
      <c r="D45" s="293"/>
      <c r="E45" s="334"/>
      <c r="F45" s="293"/>
      <c r="G45" s="333"/>
      <c r="H45" s="293"/>
      <c r="I45" s="335"/>
      <c r="J45" s="303"/>
      <c r="K45" s="260"/>
      <c r="L45" s="429"/>
      <c r="M45" s="431"/>
      <c r="N45" s="431"/>
      <c r="O45" s="431"/>
      <c r="P45" s="431"/>
      <c r="Q45" s="431"/>
      <c r="R45" s="431"/>
      <c r="S45" s="431"/>
      <c r="T45" s="431"/>
      <c r="U45" s="431"/>
      <c r="V45" s="431"/>
    </row>
    <row r="46" spans="1:22" s="257" customFormat="1" ht="15.6" customHeight="1" thickTop="1" thickBot="1" x14ac:dyDescent="0.2">
      <c r="A46" s="254" t="s">
        <v>433</v>
      </c>
      <c r="B46" s="266"/>
      <c r="C46" s="300"/>
      <c r="D46" s="266"/>
      <c r="E46" s="301"/>
      <c r="F46" s="266"/>
      <c r="G46" s="300"/>
      <c r="H46" s="302" t="s">
        <v>511</v>
      </c>
      <c r="I46" s="256"/>
      <c r="J46" s="303"/>
      <c r="K46" s="260"/>
      <c r="L46" s="429"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2022年１月分の報告省令レート（ただし、米ドルと日本円間のレートについては同年１月１日時点の最新の為替レート）を用いてください。</v>
      </c>
      <c r="M46" s="432"/>
      <c r="N46" s="432"/>
      <c r="O46" s="432"/>
      <c r="P46" s="432"/>
      <c r="Q46" s="432"/>
      <c r="R46" s="432"/>
      <c r="S46" s="432"/>
      <c r="T46" s="432"/>
      <c r="U46" s="432"/>
      <c r="V46" s="432"/>
    </row>
    <row r="47" spans="1:22" s="257" customFormat="1" ht="12.95" customHeight="1" thickBot="1" x14ac:dyDescent="0.2">
      <c r="A47" s="307" t="s">
        <v>348</v>
      </c>
      <c r="B47" s="281" t="s">
        <v>0</v>
      </c>
      <c r="C47" s="305"/>
      <c r="D47" s="270">
        <v>0</v>
      </c>
      <c r="E47" s="303" t="s">
        <v>48</v>
      </c>
      <c r="F47" s="306" t="s">
        <v>357</v>
      </c>
      <c r="G47" s="300"/>
      <c r="H47" s="270">
        <v>2</v>
      </c>
      <c r="I47" s="264" t="s">
        <v>48</v>
      </c>
      <c r="J47" s="303"/>
      <c r="K47" s="260"/>
      <c r="L47" s="433"/>
      <c r="M47" s="432"/>
      <c r="N47" s="432"/>
      <c r="O47" s="432"/>
      <c r="P47" s="432"/>
      <c r="Q47" s="432"/>
      <c r="R47" s="432"/>
      <c r="S47" s="432"/>
      <c r="T47" s="432"/>
      <c r="U47" s="432"/>
      <c r="V47" s="432"/>
    </row>
    <row r="48" spans="1:22" s="257" customFormat="1" ht="12.95" customHeight="1" thickBot="1" x14ac:dyDescent="0.2">
      <c r="A48" s="307" t="s">
        <v>349</v>
      </c>
      <c r="B48" s="281" t="s">
        <v>1</v>
      </c>
      <c r="C48" s="305"/>
      <c r="D48" s="270">
        <v>0</v>
      </c>
      <c r="E48" s="303" t="s">
        <v>48</v>
      </c>
      <c r="F48" s="313" t="s">
        <v>358</v>
      </c>
      <c r="G48" s="300"/>
      <c r="H48" s="270">
        <v>0</v>
      </c>
      <c r="I48" s="264" t="s">
        <v>48</v>
      </c>
      <c r="J48" s="303"/>
      <c r="K48" s="260"/>
      <c r="L48" s="433"/>
      <c r="M48" s="432"/>
      <c r="N48" s="432"/>
      <c r="O48" s="432"/>
      <c r="P48" s="432"/>
      <c r="Q48" s="432"/>
      <c r="R48" s="432"/>
      <c r="S48" s="432"/>
      <c r="T48" s="432"/>
      <c r="U48" s="432"/>
      <c r="V48" s="432"/>
    </row>
    <row r="49" spans="1:22" s="257" customFormat="1" ht="12.95" customHeight="1" thickBot="1" x14ac:dyDescent="0.2">
      <c r="A49" s="307" t="s">
        <v>350</v>
      </c>
      <c r="B49" s="281" t="s">
        <v>2</v>
      </c>
      <c r="C49" s="305"/>
      <c r="D49" s="270">
        <v>1</v>
      </c>
      <c r="E49" s="303" t="s">
        <v>48</v>
      </c>
      <c r="F49" s="313" t="s">
        <v>359</v>
      </c>
      <c r="G49" s="300"/>
      <c r="H49" s="270">
        <v>0</v>
      </c>
      <c r="I49" s="264" t="s">
        <v>48</v>
      </c>
      <c r="J49" s="303"/>
      <c r="K49" s="260"/>
      <c r="L49" s="433"/>
      <c r="M49" s="432"/>
      <c r="N49" s="432"/>
      <c r="O49" s="432"/>
      <c r="P49" s="432"/>
      <c r="Q49" s="432"/>
      <c r="R49" s="432"/>
      <c r="S49" s="432"/>
      <c r="T49" s="432"/>
      <c r="U49" s="432"/>
      <c r="V49" s="432"/>
    </row>
    <row r="50" spans="1:22" s="257" customFormat="1" ht="12.95" customHeight="1" thickBot="1" x14ac:dyDescent="0.2">
      <c r="A50" s="307" t="s">
        <v>351</v>
      </c>
      <c r="B50" s="281" t="s">
        <v>3</v>
      </c>
      <c r="C50" s="305"/>
      <c r="D50" s="270">
        <v>0</v>
      </c>
      <c r="E50" s="303" t="s">
        <v>48</v>
      </c>
      <c r="F50" s="313" t="s">
        <v>360</v>
      </c>
      <c r="G50" s="300"/>
      <c r="H50" s="270">
        <v>0</v>
      </c>
      <c r="I50" s="264" t="s">
        <v>48</v>
      </c>
      <c r="J50" s="303"/>
      <c r="K50" s="260"/>
      <c r="L50" s="429" t="s">
        <v>632</v>
      </c>
      <c r="M50" s="431"/>
      <c r="N50" s="431"/>
      <c r="O50" s="431"/>
      <c r="P50" s="431"/>
      <c r="Q50" s="431"/>
      <c r="R50" s="431"/>
      <c r="S50" s="431"/>
      <c r="T50" s="431"/>
      <c r="U50" s="431"/>
      <c r="V50" s="431"/>
    </row>
    <row r="51" spans="1:22" s="257" customFormat="1" ht="12.95" customHeight="1" thickBot="1" x14ac:dyDescent="0.2">
      <c r="A51" s="307" t="s">
        <v>352</v>
      </c>
      <c r="B51" s="281" t="s">
        <v>4</v>
      </c>
      <c r="C51" s="305"/>
      <c r="D51" s="270">
        <v>0</v>
      </c>
      <c r="E51" s="303" t="s">
        <v>48</v>
      </c>
      <c r="F51" s="313" t="s">
        <v>361</v>
      </c>
      <c r="G51" s="300"/>
      <c r="H51" s="270">
        <v>0</v>
      </c>
      <c r="I51" s="264" t="s">
        <v>48</v>
      </c>
      <c r="J51" s="303"/>
      <c r="K51" s="260"/>
      <c r="L51" s="429"/>
      <c r="M51" s="431"/>
      <c r="N51" s="431"/>
      <c r="O51" s="431"/>
      <c r="P51" s="431"/>
      <c r="Q51" s="431"/>
      <c r="R51" s="431"/>
      <c r="S51" s="431"/>
      <c r="T51" s="431"/>
      <c r="U51" s="431"/>
      <c r="V51" s="431"/>
    </row>
    <row r="52" spans="1:22" s="257" customFormat="1" ht="12.95" customHeight="1" thickBot="1" x14ac:dyDescent="0.2">
      <c r="A52" s="307" t="s">
        <v>353</v>
      </c>
      <c r="B52" s="281" t="s">
        <v>5</v>
      </c>
      <c r="C52" s="305"/>
      <c r="D52" s="270">
        <v>0</v>
      </c>
      <c r="E52" s="303" t="s">
        <v>48</v>
      </c>
      <c r="F52" s="313" t="s">
        <v>362</v>
      </c>
      <c r="G52" s="300"/>
      <c r="H52" s="270">
        <v>0</v>
      </c>
      <c r="I52" s="264" t="s">
        <v>48</v>
      </c>
      <c r="J52" s="303"/>
      <c r="K52" s="260"/>
      <c r="L52" s="429"/>
      <c r="M52" s="431"/>
      <c r="N52" s="431"/>
      <c r="O52" s="431"/>
      <c r="P52" s="431"/>
      <c r="Q52" s="431"/>
      <c r="R52" s="431"/>
      <c r="S52" s="431"/>
      <c r="T52" s="431"/>
      <c r="U52" s="431"/>
      <c r="V52" s="431"/>
    </row>
    <row r="53" spans="1:22" s="257" customFormat="1" ht="12.95" customHeight="1" thickBot="1" x14ac:dyDescent="0.2">
      <c r="A53" s="307" t="s">
        <v>354</v>
      </c>
      <c r="B53" s="281" t="s">
        <v>302</v>
      </c>
      <c r="C53" s="305"/>
      <c r="D53" s="270">
        <v>0</v>
      </c>
      <c r="E53" s="303" t="s">
        <v>48</v>
      </c>
      <c r="F53" s="313" t="s">
        <v>363</v>
      </c>
      <c r="G53" s="300"/>
      <c r="H53" s="270">
        <v>0</v>
      </c>
      <c r="I53" s="264" t="s">
        <v>48</v>
      </c>
      <c r="J53" s="303"/>
      <c r="K53" s="260"/>
      <c r="L53" s="429" t="s">
        <v>400</v>
      </c>
      <c r="M53" s="431"/>
      <c r="N53" s="431"/>
      <c r="O53" s="431"/>
      <c r="P53" s="431"/>
      <c r="Q53" s="431"/>
      <c r="R53" s="431"/>
      <c r="S53" s="431"/>
      <c r="T53" s="431"/>
      <c r="U53" s="431"/>
      <c r="V53" s="431"/>
    </row>
    <row r="54" spans="1:22" s="257" customFormat="1" ht="12.95" customHeight="1" thickBot="1" x14ac:dyDescent="0.2">
      <c r="A54" s="307" t="s">
        <v>355</v>
      </c>
      <c r="B54" s="336" t="s">
        <v>303</v>
      </c>
      <c r="C54" s="337"/>
      <c r="D54" s="270">
        <v>0</v>
      </c>
      <c r="E54" s="303" t="s">
        <v>48</v>
      </c>
      <c r="F54" s="313" t="s">
        <v>364</v>
      </c>
      <c r="G54" s="300"/>
      <c r="H54" s="270">
        <v>0</v>
      </c>
      <c r="I54" s="264" t="s">
        <v>48</v>
      </c>
      <c r="J54" s="303"/>
      <c r="K54" s="260"/>
      <c r="L54" s="429"/>
      <c r="M54" s="431"/>
      <c r="N54" s="431"/>
      <c r="O54" s="431"/>
      <c r="P54" s="431"/>
      <c r="Q54" s="431"/>
      <c r="R54" s="431"/>
      <c r="S54" s="431"/>
      <c r="T54" s="431"/>
      <c r="U54" s="431"/>
      <c r="V54" s="431"/>
    </row>
    <row r="55" spans="1:22" s="257" customFormat="1" ht="12.95" customHeight="1" thickBot="1" x14ac:dyDescent="0.2">
      <c r="A55" s="314" t="s">
        <v>356</v>
      </c>
      <c r="B55" s="338" t="s">
        <v>304</v>
      </c>
      <c r="C55" s="315"/>
      <c r="D55" s="270">
        <v>0</v>
      </c>
      <c r="E55" s="316" t="s">
        <v>48</v>
      </c>
      <c r="F55" s="339" t="s">
        <v>365</v>
      </c>
      <c r="G55" s="332"/>
      <c r="H55" s="270">
        <v>0</v>
      </c>
      <c r="I55" s="288" t="s">
        <v>48</v>
      </c>
      <c r="J55" s="303"/>
      <c r="K55" s="260"/>
      <c r="L55" s="429"/>
      <c r="M55" s="431"/>
      <c r="N55" s="431"/>
      <c r="O55" s="431"/>
      <c r="P55" s="431"/>
      <c r="Q55" s="431"/>
      <c r="R55" s="431"/>
      <c r="S55" s="431"/>
      <c r="T55" s="431"/>
      <c r="U55" s="431"/>
      <c r="V55" s="431"/>
    </row>
    <row r="56" spans="1:22" ht="6.6" customHeight="1" thickTop="1" x14ac:dyDescent="0.15">
      <c r="C56" s="340"/>
      <c r="D56" s="341"/>
      <c r="E56" s="342"/>
      <c r="G56" s="340"/>
      <c r="H56" s="343"/>
      <c r="I56" s="343"/>
      <c r="J56" s="342"/>
      <c r="K56" s="237"/>
      <c r="L56" s="193"/>
      <c r="M56" s="193"/>
      <c r="N56" s="193"/>
      <c r="O56" s="193"/>
      <c r="P56" s="193"/>
      <c r="Q56" s="193"/>
      <c r="R56" s="193"/>
      <c r="S56" s="193"/>
      <c r="T56" s="193"/>
      <c r="U56" s="193"/>
      <c r="V56" s="193"/>
    </row>
    <row r="57" spans="1:22" ht="12.75" hidden="1" customHeight="1" x14ac:dyDescent="0.15">
      <c r="B57" s="236" t="s">
        <v>294</v>
      </c>
      <c r="K57" s="237"/>
      <c r="L57" s="193"/>
      <c r="M57" s="193"/>
      <c r="N57" s="193"/>
      <c r="O57" s="193"/>
      <c r="P57" s="193"/>
      <c r="Q57" s="193"/>
      <c r="R57" s="193"/>
      <c r="S57" s="193"/>
      <c r="T57" s="193"/>
      <c r="U57" s="193"/>
      <c r="V57" s="193"/>
    </row>
    <row r="58" spans="1:22" ht="17.25" hidden="1" customHeight="1" thickBot="1" x14ac:dyDescent="0.4">
      <c r="B58" s="249" t="s">
        <v>38</v>
      </c>
      <c r="C58" s="249"/>
      <c r="D58" s="344" t="s">
        <v>371</v>
      </c>
      <c r="E58" s="249"/>
      <c r="H58" s="249" t="s">
        <v>434</v>
      </c>
      <c r="I58" s="249"/>
      <c r="K58" s="237"/>
      <c r="L58" s="193" t="s">
        <v>375</v>
      </c>
      <c r="M58" s="193"/>
      <c r="N58" s="193"/>
      <c r="O58" s="193"/>
      <c r="P58" s="193"/>
      <c r="Q58" s="193"/>
      <c r="R58" s="193"/>
      <c r="S58" s="193"/>
      <c r="T58" s="193"/>
      <c r="U58" s="193"/>
      <c r="V58" s="193"/>
    </row>
    <row r="59" spans="1:22" ht="23.25" hidden="1" customHeight="1" thickBot="1" x14ac:dyDescent="0.25">
      <c r="B59" s="195" t="s">
        <v>279</v>
      </c>
      <c r="C59" s="195"/>
      <c r="D59" s="345" t="s">
        <v>370</v>
      </c>
      <c r="E59" s="195"/>
      <c r="H59" s="249" t="s">
        <v>435</v>
      </c>
      <c r="I59" s="249"/>
      <c r="K59" s="237"/>
      <c r="L59" s="193"/>
      <c r="M59" s="193"/>
      <c r="N59" s="193"/>
      <c r="O59" s="193"/>
      <c r="P59" s="193"/>
      <c r="Q59" s="193"/>
      <c r="R59" s="193"/>
      <c r="S59" s="193"/>
      <c r="T59" s="193"/>
      <c r="U59" s="193"/>
      <c r="V59" s="193"/>
    </row>
    <row r="60" spans="1:22" ht="6.75" customHeight="1" x14ac:dyDescent="0.15">
      <c r="K60" s="237"/>
      <c r="L60" s="193"/>
      <c r="M60" s="193"/>
      <c r="N60" s="193"/>
      <c r="O60" s="193"/>
      <c r="P60" s="193"/>
      <c r="Q60" s="193"/>
      <c r="R60" s="193"/>
      <c r="S60" s="193"/>
      <c r="T60" s="193"/>
      <c r="U60" s="193"/>
      <c r="V60" s="193"/>
    </row>
    <row r="61" spans="1:22" x14ac:dyDescent="0.15">
      <c r="B61" s="236" t="s">
        <v>310</v>
      </c>
      <c r="K61" s="237"/>
      <c r="L61" s="193" t="s">
        <v>626</v>
      </c>
      <c r="M61" s="193"/>
      <c r="N61" s="193"/>
      <c r="O61" s="193"/>
      <c r="P61" s="193"/>
      <c r="Q61" s="193"/>
      <c r="R61" s="193"/>
      <c r="S61" s="193"/>
      <c r="T61" s="193"/>
      <c r="U61" s="193"/>
      <c r="V61" s="193"/>
    </row>
    <row r="62" spans="1:22" ht="13.5" customHeight="1" x14ac:dyDescent="0.15">
      <c r="B62" s="346" t="s">
        <v>395</v>
      </c>
      <c r="K62" s="237"/>
      <c r="L62" s="429" t="s">
        <v>638</v>
      </c>
      <c r="M62" s="430"/>
      <c r="N62" s="430"/>
      <c r="O62" s="430"/>
      <c r="P62" s="430"/>
      <c r="Q62" s="430"/>
      <c r="R62" s="430"/>
      <c r="S62" s="430"/>
      <c r="T62" s="430"/>
      <c r="U62" s="430"/>
      <c r="V62" s="430"/>
    </row>
    <row r="63" spans="1:22" ht="13.5" customHeight="1" x14ac:dyDescent="0.15">
      <c r="B63" s="347" t="s">
        <v>311</v>
      </c>
      <c r="K63" s="237"/>
      <c r="L63" s="429"/>
      <c r="M63" s="430"/>
      <c r="N63" s="430"/>
      <c r="O63" s="430"/>
      <c r="P63" s="430"/>
      <c r="Q63" s="430"/>
      <c r="R63" s="430"/>
      <c r="S63" s="430"/>
      <c r="T63" s="430"/>
      <c r="U63" s="430"/>
      <c r="V63" s="430"/>
    </row>
    <row r="64" spans="1:22" x14ac:dyDescent="0.15">
      <c r="B64" s="347" t="s">
        <v>415</v>
      </c>
      <c r="K64" s="237"/>
      <c r="L64" s="429"/>
      <c r="M64" s="430"/>
      <c r="N64" s="430"/>
      <c r="O64" s="430"/>
      <c r="P64" s="430"/>
      <c r="Q64" s="430"/>
      <c r="R64" s="430"/>
      <c r="S64" s="430"/>
      <c r="T64" s="430"/>
      <c r="U64" s="430"/>
      <c r="V64" s="430"/>
    </row>
    <row r="65" spans="1:22" ht="13.5" customHeight="1" x14ac:dyDescent="0.15">
      <c r="B65" s="347" t="s">
        <v>394</v>
      </c>
      <c r="K65" s="237"/>
      <c r="L65" s="429"/>
      <c r="M65" s="430"/>
      <c r="N65" s="430"/>
      <c r="O65" s="430"/>
      <c r="P65" s="430"/>
      <c r="Q65" s="430"/>
      <c r="R65" s="430"/>
      <c r="S65" s="430"/>
      <c r="T65" s="430"/>
      <c r="U65" s="430"/>
      <c r="V65" s="430"/>
    </row>
    <row r="66" spans="1:22" x14ac:dyDescent="0.15">
      <c r="B66" s="348" t="s">
        <v>416</v>
      </c>
      <c r="C66" s="349"/>
      <c r="D66" s="349"/>
      <c r="E66" s="349"/>
      <c r="F66" s="349"/>
      <c r="G66" s="349"/>
      <c r="H66" s="349"/>
      <c r="K66" s="237"/>
      <c r="L66" s="429" t="s">
        <v>637</v>
      </c>
      <c r="M66" s="430"/>
      <c r="N66" s="430"/>
      <c r="O66" s="430"/>
      <c r="P66" s="430"/>
      <c r="Q66" s="430"/>
      <c r="R66" s="430"/>
      <c r="S66" s="430"/>
      <c r="T66" s="430"/>
      <c r="U66" s="430"/>
      <c r="V66" s="430"/>
    </row>
    <row r="67" spans="1:22" x14ac:dyDescent="0.15">
      <c r="A67" s="219"/>
      <c r="B67" s="350" t="s">
        <v>305</v>
      </c>
      <c r="C67" s="219"/>
      <c r="D67" s="219"/>
      <c r="E67" s="219"/>
      <c r="F67" s="219"/>
      <c r="G67" s="219"/>
      <c r="H67" s="219"/>
      <c r="I67" s="219"/>
      <c r="J67" s="219"/>
      <c r="K67" s="237"/>
      <c r="L67" s="429"/>
      <c r="M67" s="430"/>
      <c r="N67" s="430"/>
      <c r="O67" s="430"/>
      <c r="P67" s="430"/>
      <c r="Q67" s="430"/>
      <c r="R67" s="430"/>
      <c r="S67" s="430"/>
      <c r="T67" s="430"/>
      <c r="U67" s="430"/>
      <c r="V67" s="430"/>
    </row>
    <row r="68" spans="1:22" ht="10.5" customHeight="1" x14ac:dyDescent="0.15">
      <c r="A68" s="351"/>
      <c r="B68" s="204" t="s">
        <v>417</v>
      </c>
      <c r="C68" s="351"/>
      <c r="D68" s="351"/>
      <c r="E68" s="351"/>
      <c r="F68" s="351"/>
      <c r="G68" s="351"/>
      <c r="H68" s="351"/>
      <c r="I68" s="351"/>
      <c r="J68" s="351"/>
      <c r="K68" s="351"/>
      <c r="L68" s="429"/>
      <c r="M68" s="430"/>
      <c r="N68" s="430"/>
      <c r="O68" s="430"/>
      <c r="P68" s="430"/>
      <c r="Q68" s="430"/>
      <c r="R68" s="430"/>
      <c r="S68" s="430"/>
      <c r="T68" s="430"/>
      <c r="U68" s="430"/>
      <c r="V68" s="430"/>
    </row>
    <row r="69" spans="1:22" ht="10.5" customHeight="1" x14ac:dyDescent="0.15">
      <c r="B69" s="236" t="s">
        <v>301</v>
      </c>
      <c r="L69" s="429"/>
      <c r="M69" s="430"/>
      <c r="N69" s="430"/>
      <c r="O69" s="430"/>
      <c r="P69" s="430"/>
      <c r="Q69" s="430"/>
      <c r="R69" s="430"/>
      <c r="S69" s="430"/>
      <c r="T69" s="430"/>
      <c r="U69" s="430"/>
      <c r="V69" s="430"/>
    </row>
    <row r="70" spans="1:22" x14ac:dyDescent="0.15">
      <c r="A70" s="352"/>
      <c r="B70" s="353" t="s">
        <v>396</v>
      </c>
      <c r="C70" s="354"/>
      <c r="D70" s="355">
        <v>0</v>
      </c>
      <c r="E70" s="356"/>
      <c r="F70" s="426"/>
      <c r="G70" s="427"/>
      <c r="H70" s="427"/>
      <c r="I70" s="428"/>
      <c r="K70" s="237"/>
      <c r="L70" s="429" t="s">
        <v>639</v>
      </c>
      <c r="M70" s="430"/>
      <c r="N70" s="430"/>
      <c r="O70" s="430"/>
      <c r="P70" s="430"/>
      <c r="Q70" s="430"/>
      <c r="R70" s="430"/>
      <c r="S70" s="430"/>
      <c r="T70" s="430"/>
      <c r="U70" s="430"/>
      <c r="V70" s="430"/>
    </row>
    <row r="71" spans="1:22" ht="10.5" customHeight="1" x14ac:dyDescent="0.15">
      <c r="A71" s="357"/>
      <c r="B71" s="358" t="s">
        <v>397</v>
      </c>
      <c r="C71" s="359"/>
      <c r="D71" s="360">
        <v>0</v>
      </c>
      <c r="E71" s="361"/>
      <c r="F71" s="362"/>
      <c r="G71" s="362"/>
      <c r="H71" s="360">
        <v>0</v>
      </c>
      <c r="I71" s="363"/>
      <c r="J71" s="219"/>
      <c r="K71" s="237"/>
      <c r="L71" s="429"/>
      <c r="M71" s="430"/>
      <c r="N71" s="430"/>
      <c r="O71" s="430"/>
      <c r="P71" s="430"/>
      <c r="Q71" s="430"/>
      <c r="R71" s="430"/>
      <c r="S71" s="430"/>
      <c r="T71" s="430"/>
      <c r="U71" s="430"/>
      <c r="V71" s="430"/>
    </row>
    <row r="72" spans="1:22" ht="10.5" customHeight="1" x14ac:dyDescent="0.15">
      <c r="B72" s="364" t="s">
        <v>398</v>
      </c>
      <c r="C72" s="365"/>
      <c r="D72" s="366">
        <v>0</v>
      </c>
      <c r="E72" s="367"/>
      <c r="F72" s="368"/>
      <c r="G72" s="368"/>
      <c r="H72" s="366">
        <v>0</v>
      </c>
      <c r="I72" s="369"/>
      <c r="J72" s="219"/>
      <c r="K72" s="237"/>
      <c r="L72" s="346" t="s">
        <v>425</v>
      </c>
      <c r="M72" s="193"/>
      <c r="N72" s="193"/>
      <c r="O72" s="193"/>
      <c r="P72" s="193"/>
      <c r="Q72" s="193"/>
      <c r="R72" s="193"/>
      <c r="S72" s="193"/>
      <c r="T72" s="193"/>
      <c r="U72" s="193"/>
      <c r="V72" s="193"/>
    </row>
    <row r="73" spans="1:22" ht="10.5" customHeight="1" x14ac:dyDescent="0.15">
      <c r="B73" s="370" t="s">
        <v>399</v>
      </c>
      <c r="C73" s="371"/>
      <c r="D73" s="372">
        <v>0</v>
      </c>
      <c r="E73" s="373"/>
      <c r="F73" s="374"/>
      <c r="G73" s="374"/>
      <c r="H73" s="372">
        <v>0</v>
      </c>
      <c r="I73" s="375"/>
      <c r="K73" s="376" t="s">
        <v>508</v>
      </c>
      <c r="L73" s="347" t="s">
        <v>436</v>
      </c>
      <c r="M73" s="193"/>
      <c r="N73" s="193"/>
      <c r="O73" s="193"/>
      <c r="P73" s="193"/>
      <c r="Q73" s="193"/>
      <c r="R73" s="193"/>
      <c r="S73" s="193"/>
      <c r="T73" s="193"/>
      <c r="U73" s="193"/>
      <c r="V73" s="193"/>
    </row>
    <row r="74" spans="1:22" ht="10.5" customHeight="1" x14ac:dyDescent="0.15"/>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L46" sqref="L46:V49"/>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0" width="0.625" customWidth="1"/>
    <col min="11" max="11" width="4.875" customWidth="1"/>
    <col min="22" max="22" width="4.25" customWidth="1"/>
  </cols>
  <sheetData>
    <row r="1" spans="1:22" x14ac:dyDescent="0.15">
      <c r="A1" s="414" t="s">
        <v>507</v>
      </c>
      <c r="B1" s="414"/>
      <c r="C1" s="414"/>
      <c r="D1" s="414"/>
      <c r="E1" s="414"/>
      <c r="F1" s="414"/>
      <c r="G1" s="414"/>
      <c r="H1" s="414"/>
      <c r="I1" s="414"/>
      <c r="K1" s="189"/>
      <c r="L1" s="414" t="s">
        <v>367</v>
      </c>
      <c r="M1" s="414"/>
      <c r="N1" s="414"/>
      <c r="O1" s="414"/>
      <c r="P1" s="414"/>
      <c r="Q1" s="414"/>
      <c r="R1" s="414"/>
      <c r="S1" s="414"/>
      <c r="T1" s="414"/>
      <c r="U1" s="414"/>
      <c r="V1" s="414"/>
    </row>
    <row r="2" spans="1:22" ht="6" customHeight="1" x14ac:dyDescent="0.15">
      <c r="A2" s="232"/>
      <c r="B2" s="232"/>
      <c r="C2" s="232"/>
      <c r="D2" s="232"/>
      <c r="E2" s="232"/>
      <c r="F2" s="232"/>
      <c r="G2" s="232"/>
      <c r="H2" s="232"/>
      <c r="I2" s="232"/>
      <c r="K2" s="189"/>
    </row>
    <row r="3" spans="1:22" x14ac:dyDescent="0.15">
      <c r="A3" s="90" t="s">
        <v>300</v>
      </c>
      <c r="C3" s="232"/>
      <c r="D3" s="232"/>
      <c r="E3" s="232"/>
      <c r="F3" s="232"/>
      <c r="G3" s="232"/>
      <c r="H3" s="232"/>
      <c r="I3" s="232"/>
      <c r="K3" s="189"/>
      <c r="L3" s="188" t="s">
        <v>621</v>
      </c>
      <c r="M3" s="188"/>
      <c r="N3" s="188"/>
      <c r="O3" s="188"/>
      <c r="P3" s="188"/>
      <c r="Q3" s="188"/>
      <c r="R3" s="188"/>
      <c r="S3" s="188"/>
      <c r="T3" s="188"/>
      <c r="U3" s="188"/>
      <c r="V3" s="188"/>
    </row>
    <row r="4" spans="1:22" ht="15.75" customHeight="1" x14ac:dyDescent="0.15">
      <c r="A4" s="232"/>
      <c r="B4" s="90"/>
      <c r="C4" s="232"/>
      <c r="D4" s="232"/>
      <c r="E4" s="232"/>
      <c r="F4" s="232"/>
      <c r="G4" s="232"/>
      <c r="H4" s="232"/>
      <c r="I4" s="232"/>
      <c r="K4" s="189"/>
      <c r="L4" s="429" t="s">
        <v>628</v>
      </c>
      <c r="M4" s="431"/>
      <c r="N4" s="431"/>
      <c r="O4" s="431"/>
      <c r="P4" s="431"/>
      <c r="Q4" s="431"/>
      <c r="R4" s="431"/>
      <c r="S4" s="431"/>
      <c r="T4" s="431"/>
      <c r="U4" s="431"/>
      <c r="V4" s="431"/>
    </row>
    <row r="5" spans="1:22" x14ac:dyDescent="0.15">
      <c r="A5" s="232"/>
      <c r="B5" s="415" t="s">
        <v>437</v>
      </c>
      <c r="C5" s="415"/>
      <c r="D5" s="415"/>
      <c r="E5" s="415"/>
      <c r="F5" s="415"/>
      <c r="G5" s="415"/>
      <c r="H5" s="415"/>
      <c r="I5" s="415"/>
      <c r="K5" s="189"/>
      <c r="L5" s="429"/>
      <c r="M5" s="431"/>
      <c r="N5" s="431"/>
      <c r="O5" s="431"/>
      <c r="P5" s="431"/>
      <c r="Q5" s="431"/>
      <c r="R5" s="431"/>
      <c r="S5" s="431"/>
      <c r="T5" s="431"/>
      <c r="U5" s="431"/>
      <c r="V5" s="431"/>
    </row>
    <row r="6" spans="1:22" x14ac:dyDescent="0.15">
      <c r="A6" s="232"/>
      <c r="B6" s="415"/>
      <c r="C6" s="415"/>
      <c r="D6" s="415"/>
      <c r="E6" s="415"/>
      <c r="F6" s="415"/>
      <c r="G6" s="415"/>
      <c r="H6" s="415"/>
      <c r="I6" s="415"/>
      <c r="K6" s="189"/>
      <c r="L6" s="429"/>
      <c r="M6" s="431"/>
      <c r="N6" s="431"/>
      <c r="O6" s="431"/>
      <c r="P6" s="431"/>
      <c r="Q6" s="431"/>
      <c r="R6" s="431"/>
      <c r="S6" s="431"/>
      <c r="T6" s="431"/>
      <c r="U6" s="431"/>
      <c r="V6" s="431"/>
    </row>
    <row r="7" spans="1:22" x14ac:dyDescent="0.15">
      <c r="A7" s="232"/>
      <c r="B7" s="233"/>
      <c r="C7" s="233"/>
      <c r="D7" s="233"/>
      <c r="E7" s="233"/>
      <c r="F7" s="233"/>
      <c r="G7" s="233"/>
      <c r="H7" s="233"/>
      <c r="I7" s="233"/>
      <c r="K7" s="189"/>
      <c r="L7" s="429" t="s">
        <v>401</v>
      </c>
      <c r="M7" s="431"/>
      <c r="N7" s="431"/>
      <c r="O7" s="431"/>
      <c r="P7" s="431"/>
      <c r="Q7" s="431"/>
      <c r="R7" s="431"/>
      <c r="S7" s="431"/>
      <c r="T7" s="431"/>
      <c r="U7" s="431"/>
      <c r="V7" s="431"/>
    </row>
    <row r="8" spans="1:22" ht="14.25" thickBot="1" x14ac:dyDescent="0.2">
      <c r="A8" s="232"/>
      <c r="B8" s="233"/>
      <c r="C8" s="233"/>
      <c r="D8" s="233"/>
      <c r="E8" s="422" t="s">
        <v>392</v>
      </c>
      <c r="F8" s="422"/>
      <c r="G8" s="422"/>
      <c r="H8" s="206">
        <v>43647</v>
      </c>
      <c r="I8" s="233"/>
      <c r="K8" s="189"/>
      <c r="L8" s="429"/>
      <c r="M8" s="431"/>
      <c r="N8" s="431"/>
      <c r="O8" s="431"/>
      <c r="P8" s="431"/>
      <c r="Q8" s="431"/>
      <c r="R8" s="431"/>
      <c r="S8" s="431"/>
      <c r="T8" s="431"/>
      <c r="U8" s="431"/>
      <c r="V8" s="431"/>
    </row>
    <row r="9" spans="1:22" ht="13.5" customHeight="1" x14ac:dyDescent="0.15">
      <c r="A9" s="232"/>
      <c r="B9" s="232"/>
      <c r="C9" s="232"/>
      <c r="D9" s="232"/>
      <c r="E9" s="59"/>
      <c r="F9" s="59"/>
      <c r="G9" s="59"/>
      <c r="H9" s="209" t="s">
        <v>438</v>
      </c>
      <c r="I9" s="169"/>
      <c r="K9" s="189"/>
      <c r="L9" s="429" t="s">
        <v>627</v>
      </c>
      <c r="M9" s="431"/>
      <c r="N9" s="431"/>
      <c r="O9" s="431"/>
      <c r="P9" s="431"/>
      <c r="Q9" s="431"/>
      <c r="R9" s="431"/>
      <c r="S9" s="431"/>
      <c r="T9" s="431"/>
      <c r="U9" s="431"/>
      <c r="V9" s="431"/>
    </row>
    <row r="10" spans="1:22" ht="13.5" customHeight="1" thickBot="1" x14ac:dyDescent="0.2">
      <c r="A10" s="232"/>
      <c r="B10" s="220" t="s">
        <v>410</v>
      </c>
      <c r="C10" s="221"/>
      <c r="D10" s="222">
        <v>2020</v>
      </c>
      <c r="E10" s="424" t="s">
        <v>407</v>
      </c>
      <c r="F10" s="424"/>
      <c r="G10" s="424"/>
      <c r="H10" s="223" t="s">
        <v>403</v>
      </c>
      <c r="I10" s="169"/>
      <c r="K10" s="189"/>
      <c r="L10" s="429"/>
      <c r="M10" s="431"/>
      <c r="N10" s="431"/>
      <c r="O10" s="431"/>
      <c r="P10" s="431"/>
      <c r="Q10" s="431"/>
      <c r="R10" s="431"/>
      <c r="S10" s="431"/>
      <c r="T10" s="431"/>
      <c r="U10" s="431"/>
      <c r="V10" s="431"/>
    </row>
    <row r="11" spans="1:22" ht="14.25" thickBot="1" x14ac:dyDescent="0.2">
      <c r="A11" s="232"/>
      <c r="B11" s="234" t="s">
        <v>439</v>
      </c>
      <c r="C11" s="80"/>
      <c r="D11" s="228">
        <v>12345678</v>
      </c>
      <c r="E11" s="377" t="s">
        <v>440</v>
      </c>
      <c r="F11" s="378">
        <v>101</v>
      </c>
      <c r="G11" s="377" t="s">
        <v>440</v>
      </c>
      <c r="H11" s="379">
        <v>901234</v>
      </c>
      <c r="I11" s="169"/>
      <c r="K11" s="189"/>
      <c r="L11" s="429"/>
      <c r="M11" s="431"/>
      <c r="N11" s="431"/>
      <c r="O11" s="431"/>
      <c r="P11" s="431"/>
      <c r="Q11" s="431"/>
      <c r="R11" s="431"/>
      <c r="S11" s="431"/>
      <c r="T11" s="431"/>
      <c r="U11" s="431"/>
      <c r="V11" s="431"/>
    </row>
    <row r="12" spans="1:22" ht="14.25" thickBot="1" x14ac:dyDescent="0.2">
      <c r="B12" s="234" t="s">
        <v>441</v>
      </c>
      <c r="C12" s="80"/>
      <c r="D12" s="80" t="s">
        <v>442</v>
      </c>
      <c r="E12" s="439" t="s">
        <v>393</v>
      </c>
      <c r="F12" s="439"/>
      <c r="G12" s="439"/>
      <c r="H12" s="206">
        <v>37072</v>
      </c>
      <c r="K12" s="189"/>
      <c r="L12" s="429" t="s">
        <v>423</v>
      </c>
      <c r="M12" s="430"/>
      <c r="N12" s="430"/>
      <c r="O12" s="430"/>
      <c r="P12" s="430"/>
      <c r="Q12" s="430"/>
      <c r="R12" s="430"/>
      <c r="S12" s="430"/>
      <c r="T12" s="430"/>
      <c r="U12" s="430"/>
      <c r="V12" s="430"/>
    </row>
    <row r="13" spans="1:22" ht="14.25" thickBot="1" x14ac:dyDescent="0.2">
      <c r="B13" s="234" t="s">
        <v>276</v>
      </c>
      <c r="C13" s="91"/>
      <c r="D13" s="91" t="s">
        <v>443</v>
      </c>
      <c r="E13" s="59"/>
      <c r="F13" s="59"/>
      <c r="G13" s="59"/>
      <c r="H13" s="209" t="s">
        <v>444</v>
      </c>
      <c r="K13" s="189"/>
      <c r="L13" s="429"/>
      <c r="M13" s="430"/>
      <c r="N13" s="430"/>
      <c r="O13" s="430"/>
      <c r="P13" s="430"/>
      <c r="Q13" s="430"/>
      <c r="R13" s="430"/>
      <c r="S13" s="430"/>
      <c r="T13" s="430"/>
      <c r="U13" s="430"/>
      <c r="V13" s="430"/>
    </row>
    <row r="14" spans="1:22" ht="14.25" thickBot="1" x14ac:dyDescent="0.2">
      <c r="B14" s="234" t="s">
        <v>277</v>
      </c>
      <c r="C14" s="91"/>
      <c r="D14" s="195" t="s">
        <v>445</v>
      </c>
      <c r="E14" s="205"/>
      <c r="F14" s="205"/>
      <c r="G14" s="205"/>
      <c r="H14" s="205"/>
      <c r="K14" s="189"/>
      <c r="L14" s="429"/>
      <c r="M14" s="430"/>
      <c r="N14" s="430"/>
      <c r="O14" s="430"/>
      <c r="P14" s="430"/>
      <c r="Q14" s="430"/>
      <c r="R14" s="430"/>
      <c r="S14" s="430"/>
      <c r="T14" s="430"/>
      <c r="U14" s="430"/>
      <c r="V14" s="430"/>
    </row>
    <row r="15" spans="1:22" x14ac:dyDescent="0.15">
      <c r="B15" s="224" t="str">
        <f>"※ 以下、収入（所得）は【"&amp;IF(計算シート!C49=1,計算シート!C47,計算シート!C48)&amp;"年1月1日～12月31日】のものを入力してください。"</f>
        <v>※ 以下、収入（所得）は【2021年1月1日～12月31日】のものを入力してください。</v>
      </c>
      <c r="C15" s="59"/>
      <c r="D15" s="219"/>
      <c r="E15" s="205"/>
      <c r="F15" s="205"/>
      <c r="G15" s="205"/>
      <c r="H15" s="205"/>
      <c r="K15" s="189"/>
      <c r="L15" s="440" t="s">
        <v>368</v>
      </c>
      <c r="M15" s="441"/>
      <c r="N15" s="441"/>
      <c r="O15" s="441"/>
      <c r="P15" s="441"/>
      <c r="Q15" s="441"/>
      <c r="R15" s="441"/>
      <c r="S15" s="441"/>
      <c r="T15" s="441"/>
      <c r="U15" s="441"/>
      <c r="V15" s="441"/>
    </row>
    <row r="16" spans="1:22" x14ac:dyDescent="0.15">
      <c r="B16" s="224" t="str">
        <f>"    扶養等の情報は【"&amp;IF(計算シート!C49=1,計算シート!C47,計算シート!C48)&amp;"年12月31日】現在のものを入力してください。"</f>
        <v xml:space="preserve">    扶養等の情報は【2021年12月31日】現在のものを入力してください。</v>
      </c>
      <c r="C16" s="59"/>
      <c r="D16" s="219"/>
      <c r="E16" s="205"/>
      <c r="F16" s="205"/>
      <c r="G16" s="205"/>
      <c r="H16" s="205"/>
      <c r="K16" s="189"/>
      <c r="L16" s="440"/>
      <c r="M16" s="441"/>
      <c r="N16" s="441"/>
      <c r="O16" s="441"/>
      <c r="P16" s="441"/>
      <c r="Q16" s="441"/>
      <c r="R16" s="441"/>
      <c r="S16" s="441"/>
      <c r="T16" s="441"/>
      <c r="U16" s="441"/>
      <c r="V16" s="441"/>
    </row>
    <row r="17" spans="1:22" ht="7.5" customHeight="1" thickBot="1" x14ac:dyDescent="0.2">
      <c r="A17" s="83"/>
      <c r="B17" s="83"/>
      <c r="C17" s="83"/>
      <c r="D17" s="83"/>
      <c r="E17" s="83"/>
      <c r="K17" s="189"/>
      <c r="L17" s="440"/>
      <c r="M17" s="441"/>
      <c r="N17" s="441"/>
      <c r="O17" s="441"/>
      <c r="P17" s="441"/>
      <c r="Q17" s="441"/>
      <c r="R17" s="441"/>
      <c r="S17" s="441"/>
      <c r="T17" s="441"/>
      <c r="U17" s="441"/>
      <c r="V17" s="441"/>
    </row>
    <row r="18" spans="1:22" s="101" customFormat="1" ht="15.6" customHeight="1" thickTop="1" x14ac:dyDescent="0.15">
      <c r="A18" s="89" t="s">
        <v>446</v>
      </c>
      <c r="B18" s="99"/>
      <c r="C18" s="99"/>
      <c r="D18" s="99"/>
      <c r="E18" s="100"/>
      <c r="G18" s="86" t="s">
        <v>379</v>
      </c>
      <c r="H18" s="196"/>
      <c r="I18" s="100"/>
      <c r="K18" s="190"/>
      <c r="L18" s="440"/>
      <c r="M18" s="441"/>
      <c r="N18" s="441"/>
      <c r="O18" s="441"/>
      <c r="P18" s="441"/>
      <c r="Q18" s="441"/>
      <c r="R18" s="441"/>
      <c r="S18" s="441"/>
      <c r="T18" s="441"/>
      <c r="U18" s="441"/>
      <c r="V18" s="441"/>
    </row>
    <row r="19" spans="1:22" s="101" customFormat="1" ht="12.95" customHeight="1" thickBot="1" x14ac:dyDescent="0.2">
      <c r="A19" s="174" t="s">
        <v>447</v>
      </c>
      <c r="B19" s="151" t="s">
        <v>413</v>
      </c>
      <c r="C19" s="389"/>
      <c r="D19" s="386">
        <f>H12</f>
        <v>37072</v>
      </c>
      <c r="E19" s="105"/>
      <c r="G19" s="198" t="s">
        <v>380</v>
      </c>
      <c r="H19" s="78"/>
      <c r="I19" s="105"/>
      <c r="K19" s="190"/>
      <c r="L19" s="390" t="s">
        <v>622</v>
      </c>
      <c r="M19" s="214"/>
      <c r="N19" s="214"/>
      <c r="O19" s="214"/>
      <c r="P19" s="214"/>
      <c r="Q19" s="214"/>
      <c r="R19" s="214"/>
      <c r="S19" s="214"/>
      <c r="T19" s="214"/>
      <c r="U19" s="214"/>
      <c r="V19" s="214"/>
    </row>
    <row r="20" spans="1:22" s="101" customFormat="1" ht="12.95" customHeight="1" thickBot="1" x14ac:dyDescent="0.2">
      <c r="A20" s="175" t="s">
        <v>448</v>
      </c>
      <c r="B20" s="104" t="s">
        <v>295</v>
      </c>
      <c r="D20" s="60" t="s">
        <v>38</v>
      </c>
      <c r="E20" s="105"/>
      <c r="G20" s="198" t="s">
        <v>381</v>
      </c>
      <c r="H20" s="78"/>
      <c r="I20" s="105"/>
      <c r="K20" s="190"/>
      <c r="L20" s="283" t="s">
        <v>623</v>
      </c>
      <c r="M20" s="214"/>
      <c r="N20" s="214"/>
      <c r="O20" s="214"/>
      <c r="P20" s="214"/>
      <c r="Q20" s="214"/>
      <c r="R20" s="214"/>
      <c r="S20" s="214"/>
      <c r="T20" s="214"/>
      <c r="U20" s="214"/>
      <c r="V20" s="214"/>
    </row>
    <row r="21" spans="1:22" s="101" customFormat="1" ht="12.95" customHeight="1" thickBot="1" x14ac:dyDescent="0.2">
      <c r="A21" s="175" t="s">
        <v>449</v>
      </c>
      <c r="B21" s="101" t="s">
        <v>296</v>
      </c>
      <c r="C21" s="106"/>
      <c r="D21" s="93" t="s">
        <v>266</v>
      </c>
      <c r="E21" s="105"/>
      <c r="G21" s="198" t="s">
        <v>382</v>
      </c>
      <c r="H21" s="78"/>
      <c r="I21" s="105"/>
      <c r="K21" s="190"/>
      <c r="L21" s="390" t="s">
        <v>624</v>
      </c>
      <c r="M21" s="214"/>
      <c r="N21" s="214"/>
      <c r="O21" s="214"/>
      <c r="P21" s="214"/>
      <c r="Q21" s="214"/>
      <c r="R21" s="214"/>
      <c r="S21" s="214"/>
      <c r="T21" s="214"/>
      <c r="U21" s="214"/>
      <c r="V21" s="214"/>
    </row>
    <row r="22" spans="1:22" s="101" customFormat="1" ht="12.95" customHeight="1" thickBot="1" x14ac:dyDescent="0.2">
      <c r="A22" s="175" t="s">
        <v>450</v>
      </c>
      <c r="B22" s="107" t="s">
        <v>297</v>
      </c>
      <c r="C22" s="106"/>
      <c r="D22" s="76" t="s">
        <v>42</v>
      </c>
      <c r="E22" s="105"/>
      <c r="G22" s="199">
        <v>1</v>
      </c>
      <c r="H22" s="200" t="s">
        <v>383</v>
      </c>
      <c r="I22" s="202" t="s">
        <v>451</v>
      </c>
      <c r="K22" s="190"/>
      <c r="L22" s="390" t="s">
        <v>629</v>
      </c>
      <c r="M22" s="214"/>
      <c r="N22" s="214"/>
      <c r="O22" s="214"/>
      <c r="P22" s="214"/>
      <c r="Q22" s="214"/>
      <c r="R22" s="214"/>
      <c r="S22" s="214"/>
      <c r="T22" s="214"/>
      <c r="U22" s="214"/>
      <c r="V22" s="214"/>
    </row>
    <row r="23" spans="1:22" s="101" customFormat="1" ht="12.95" customHeight="1" thickBot="1" x14ac:dyDescent="0.2">
      <c r="A23" s="175" t="s">
        <v>452</v>
      </c>
      <c r="B23" s="108" t="s">
        <v>453</v>
      </c>
      <c r="C23" s="102"/>
      <c r="D23" s="60" t="s">
        <v>40</v>
      </c>
      <c r="E23" s="105"/>
      <c r="G23" s="199">
        <v>2</v>
      </c>
      <c r="H23" s="201" t="s">
        <v>454</v>
      </c>
      <c r="I23" s="202" t="s">
        <v>509</v>
      </c>
      <c r="K23" s="190"/>
      <c r="L23" s="390" t="s">
        <v>635</v>
      </c>
      <c r="M23" s="214"/>
      <c r="N23" s="214"/>
      <c r="O23" s="214"/>
      <c r="P23" s="214"/>
      <c r="Q23" s="214"/>
      <c r="R23" s="214"/>
      <c r="S23" s="214"/>
      <c r="T23" s="214"/>
      <c r="U23" s="214"/>
      <c r="V23" s="214"/>
    </row>
    <row r="24" spans="1:22" s="101" customFormat="1" ht="12.95" customHeight="1" thickBot="1" x14ac:dyDescent="0.2">
      <c r="A24" s="175" t="s">
        <v>455</v>
      </c>
      <c r="B24" s="62" t="s">
        <v>280</v>
      </c>
      <c r="C24" s="102"/>
      <c r="D24" s="76" t="s">
        <v>49</v>
      </c>
      <c r="E24" s="105"/>
      <c r="G24" s="199">
        <v>3</v>
      </c>
      <c r="H24" s="200" t="s">
        <v>456</v>
      </c>
      <c r="I24" s="202" t="s">
        <v>509</v>
      </c>
      <c r="K24" s="190"/>
      <c r="L24" s="429" t="s">
        <v>630</v>
      </c>
      <c r="M24" s="430"/>
      <c r="N24" s="430"/>
      <c r="O24" s="430"/>
      <c r="P24" s="430"/>
      <c r="Q24" s="430"/>
      <c r="R24" s="430"/>
      <c r="S24" s="430"/>
      <c r="T24" s="430"/>
      <c r="U24" s="430"/>
      <c r="V24" s="430"/>
    </row>
    <row r="25" spans="1:22" s="101" customFormat="1" ht="12.95" customHeight="1" thickBot="1" x14ac:dyDescent="0.2">
      <c r="A25" s="175" t="s">
        <v>457</v>
      </c>
      <c r="B25" s="101" t="s">
        <v>281</v>
      </c>
      <c r="D25" s="109">
        <v>0</v>
      </c>
      <c r="E25" s="103" t="s">
        <v>510</v>
      </c>
      <c r="G25" s="199">
        <v>4</v>
      </c>
      <c r="H25" s="200" t="s">
        <v>458</v>
      </c>
      <c r="I25" s="202" t="s">
        <v>511</v>
      </c>
      <c r="K25" s="190"/>
      <c r="L25" s="429"/>
      <c r="M25" s="430"/>
      <c r="N25" s="430"/>
      <c r="O25" s="430"/>
      <c r="P25" s="430"/>
      <c r="Q25" s="430"/>
      <c r="R25" s="430"/>
      <c r="S25" s="430"/>
      <c r="T25" s="430"/>
      <c r="U25" s="430"/>
      <c r="V25" s="430"/>
    </row>
    <row r="26" spans="1:22" s="101" customFormat="1" ht="12.95" customHeight="1" thickBot="1" x14ac:dyDescent="0.2">
      <c r="A26" s="175" t="s">
        <v>459</v>
      </c>
      <c r="B26" s="150" t="s">
        <v>308</v>
      </c>
      <c r="C26" s="102"/>
      <c r="D26" s="76" t="s">
        <v>49</v>
      </c>
      <c r="E26" s="105"/>
      <c r="G26" s="199">
        <v>5</v>
      </c>
      <c r="H26" s="200" t="s">
        <v>460</v>
      </c>
      <c r="I26" s="202" t="s">
        <v>509</v>
      </c>
      <c r="K26" s="190"/>
      <c r="L26" s="429"/>
      <c r="M26" s="430"/>
      <c r="N26" s="430"/>
      <c r="O26" s="430"/>
      <c r="P26" s="430"/>
      <c r="Q26" s="430"/>
      <c r="R26" s="430"/>
      <c r="S26" s="430"/>
      <c r="T26" s="430"/>
      <c r="U26" s="430"/>
      <c r="V26" s="430"/>
    </row>
    <row r="27" spans="1:22" s="101" customFormat="1" ht="12.95" customHeight="1" thickBot="1" x14ac:dyDescent="0.2">
      <c r="A27" s="176" t="s">
        <v>461</v>
      </c>
      <c r="B27" s="84" t="s">
        <v>309</v>
      </c>
      <c r="C27" s="110"/>
      <c r="D27" s="109">
        <v>0</v>
      </c>
      <c r="E27" s="111" t="s">
        <v>510</v>
      </c>
      <c r="G27" s="197"/>
      <c r="H27" s="120"/>
      <c r="I27" s="130"/>
      <c r="K27" s="190"/>
      <c r="L27" s="429"/>
      <c r="M27" s="430"/>
      <c r="N27" s="430"/>
      <c r="O27" s="430"/>
      <c r="P27" s="430"/>
      <c r="Q27" s="430"/>
      <c r="R27" s="430"/>
      <c r="S27" s="430"/>
      <c r="T27" s="430"/>
      <c r="U27" s="430"/>
      <c r="V27" s="430"/>
    </row>
    <row r="28" spans="1:22" s="101" customFormat="1" ht="3" customHeight="1" thickTop="1" x14ac:dyDescent="0.15">
      <c r="K28" s="190"/>
      <c r="L28" s="292"/>
      <c r="M28" s="193"/>
      <c r="N28" s="193"/>
      <c r="O28" s="193"/>
      <c r="P28" s="193"/>
      <c r="Q28" s="193"/>
      <c r="R28" s="193"/>
      <c r="S28" s="193"/>
      <c r="T28" s="193"/>
      <c r="U28" s="193"/>
      <c r="V28" s="193"/>
    </row>
    <row r="29" spans="1:22" s="101" customFormat="1" ht="14.1" customHeight="1" thickBot="1" x14ac:dyDescent="0.2">
      <c r="A29" s="81"/>
      <c r="B29" s="81"/>
      <c r="C29" s="82"/>
      <c r="D29" s="112" t="s">
        <v>38</v>
      </c>
      <c r="E29" s="113"/>
      <c r="F29" s="81"/>
      <c r="G29" s="82"/>
      <c r="H29" s="128" t="s">
        <v>512</v>
      </c>
      <c r="I29" s="114"/>
      <c r="J29" s="115"/>
      <c r="K29" s="190"/>
      <c r="L29" s="292"/>
      <c r="M29" s="292"/>
      <c r="N29" s="193"/>
      <c r="O29" s="193"/>
      <c r="P29" s="193"/>
      <c r="Q29" s="193"/>
      <c r="R29" s="193"/>
      <c r="S29" s="193"/>
      <c r="T29" s="193"/>
      <c r="U29" s="193"/>
      <c r="V29" s="193"/>
    </row>
    <row r="30" spans="1:22" s="101" customFormat="1" ht="15.6" customHeight="1" thickTop="1" thickBot="1" x14ac:dyDescent="0.2">
      <c r="A30" s="86" t="s">
        <v>282</v>
      </c>
      <c r="B30" s="78"/>
      <c r="C30" s="79"/>
      <c r="D30" s="78"/>
      <c r="E30" s="116"/>
      <c r="F30" s="78"/>
      <c r="G30" s="79"/>
      <c r="H30" s="129" t="s">
        <v>511</v>
      </c>
      <c r="I30" s="100"/>
      <c r="J30" s="117"/>
      <c r="K30" s="190"/>
      <c r="L30" s="257"/>
      <c r="M30" s="292"/>
      <c r="N30" s="193"/>
      <c r="O30" s="193"/>
      <c r="P30" s="193"/>
      <c r="Q30" s="193"/>
      <c r="R30" s="193"/>
      <c r="S30" s="193"/>
      <c r="T30" s="193"/>
      <c r="U30" s="193"/>
      <c r="V30" s="193"/>
    </row>
    <row r="31" spans="1:22" s="101" customFormat="1" ht="12.95" customHeight="1" thickBot="1" x14ac:dyDescent="0.2">
      <c r="A31" s="177" t="s">
        <v>462</v>
      </c>
      <c r="B31" s="151" t="s">
        <v>412</v>
      </c>
      <c r="C31" s="65"/>
      <c r="D31" s="225">
        <v>22037</v>
      </c>
      <c r="E31" s="117"/>
      <c r="F31" s="180" t="s">
        <v>463</v>
      </c>
      <c r="G31" s="79"/>
      <c r="H31" s="225">
        <v>22037</v>
      </c>
      <c r="I31" s="103"/>
      <c r="J31" s="117"/>
      <c r="K31" s="190"/>
      <c r="L31" s="292"/>
      <c r="M31" s="292"/>
      <c r="N31" s="193"/>
      <c r="O31" s="193"/>
      <c r="P31" s="193"/>
      <c r="Q31" s="193"/>
      <c r="R31" s="193"/>
      <c r="S31" s="193"/>
      <c r="T31" s="193"/>
      <c r="U31" s="193"/>
      <c r="V31" s="193"/>
    </row>
    <row r="32" spans="1:22" s="101" customFormat="1" ht="12.95" customHeight="1" thickBot="1" x14ac:dyDescent="0.2">
      <c r="A32" s="178" t="s">
        <v>464</v>
      </c>
      <c r="B32" s="62" t="s">
        <v>312</v>
      </c>
      <c r="C32" s="65"/>
      <c r="D32" s="60" t="s">
        <v>40</v>
      </c>
      <c r="E32" s="116"/>
      <c r="F32" s="181"/>
      <c r="G32" s="79"/>
      <c r="H32" s="118"/>
      <c r="I32" s="105"/>
      <c r="J32" s="117"/>
      <c r="K32" s="190"/>
      <c r="L32" s="429" t="s">
        <v>424</v>
      </c>
      <c r="M32" s="431"/>
      <c r="N32" s="431"/>
      <c r="O32" s="431"/>
      <c r="P32" s="431"/>
      <c r="Q32" s="431"/>
      <c r="R32" s="431"/>
      <c r="S32" s="431"/>
      <c r="T32" s="431"/>
      <c r="U32" s="431"/>
      <c r="V32" s="431"/>
    </row>
    <row r="33" spans="1:22" s="101" customFormat="1" ht="12.95" customHeight="1" thickBot="1" x14ac:dyDescent="0.2">
      <c r="A33" s="178" t="s">
        <v>465</v>
      </c>
      <c r="B33" s="62" t="s">
        <v>318</v>
      </c>
      <c r="C33" s="65"/>
      <c r="D33" s="60" t="s">
        <v>40</v>
      </c>
      <c r="E33" s="116"/>
      <c r="F33" s="181"/>
      <c r="G33" s="79"/>
      <c r="H33" s="118"/>
      <c r="I33" s="105"/>
      <c r="J33" s="117"/>
      <c r="K33" s="190"/>
      <c r="L33" s="429"/>
      <c r="M33" s="431"/>
      <c r="N33" s="431"/>
      <c r="O33" s="431"/>
      <c r="P33" s="431"/>
      <c r="Q33" s="431"/>
      <c r="R33" s="431"/>
      <c r="S33" s="431"/>
      <c r="T33" s="431"/>
      <c r="U33" s="431"/>
      <c r="V33" s="431"/>
    </row>
    <row r="34" spans="1:22" s="101" customFormat="1" ht="12.95" customHeight="1" thickBot="1" x14ac:dyDescent="0.2">
      <c r="A34" s="178" t="s">
        <v>466</v>
      </c>
      <c r="B34" s="64" t="s">
        <v>315</v>
      </c>
      <c r="C34" s="66"/>
      <c r="D34" s="60" t="s">
        <v>40</v>
      </c>
      <c r="E34" s="116"/>
      <c r="F34" s="181"/>
      <c r="G34" s="79"/>
      <c r="H34" s="78"/>
      <c r="I34" s="105"/>
      <c r="J34" s="117"/>
      <c r="K34" s="190"/>
      <c r="L34" s="429"/>
      <c r="M34" s="431"/>
      <c r="N34" s="431"/>
      <c r="O34" s="431"/>
      <c r="P34" s="431"/>
      <c r="Q34" s="431"/>
      <c r="R34" s="431"/>
      <c r="S34" s="431"/>
      <c r="T34" s="431"/>
      <c r="U34" s="431"/>
      <c r="V34" s="431"/>
    </row>
    <row r="35" spans="1:22" s="101" customFormat="1" ht="12.95" customHeight="1" thickBot="1" x14ac:dyDescent="0.2">
      <c r="A35" s="178" t="s">
        <v>467</v>
      </c>
      <c r="B35" s="62" t="s">
        <v>296</v>
      </c>
      <c r="C35" s="65"/>
      <c r="D35" s="61" t="s">
        <v>44</v>
      </c>
      <c r="E35" s="116"/>
      <c r="F35" s="182" t="s">
        <v>468</v>
      </c>
      <c r="G35" s="79"/>
      <c r="H35" s="61" t="s">
        <v>44</v>
      </c>
      <c r="I35" s="105"/>
      <c r="J35" s="117"/>
      <c r="K35" s="190"/>
      <c r="L35" s="292" t="s">
        <v>374</v>
      </c>
      <c r="M35" s="292"/>
      <c r="N35" s="292"/>
      <c r="O35" s="292"/>
      <c r="P35" s="292"/>
      <c r="Q35" s="292"/>
      <c r="R35" s="292"/>
      <c r="S35" s="292"/>
      <c r="T35" s="292"/>
      <c r="U35" s="292"/>
      <c r="V35" s="292"/>
    </row>
    <row r="36" spans="1:22" s="101" customFormat="1" ht="12.95" customHeight="1" thickBot="1" x14ac:dyDescent="0.2">
      <c r="A36" s="179" t="s">
        <v>469</v>
      </c>
      <c r="B36" s="84" t="s">
        <v>299</v>
      </c>
      <c r="C36" s="85"/>
      <c r="D36" s="61" t="s">
        <v>46</v>
      </c>
      <c r="E36" s="119"/>
      <c r="F36" s="120"/>
      <c r="G36" s="125"/>
      <c r="H36" s="131"/>
      <c r="I36" s="130"/>
      <c r="J36" s="117"/>
      <c r="K36" s="190"/>
      <c r="L36" s="292" t="s">
        <v>631</v>
      </c>
      <c r="M36" s="292"/>
      <c r="N36" s="292"/>
      <c r="O36" s="292"/>
      <c r="P36" s="292"/>
      <c r="Q36" s="292"/>
      <c r="R36" s="292"/>
      <c r="S36" s="292"/>
      <c r="T36" s="292"/>
      <c r="U36" s="292"/>
      <c r="V36" s="292"/>
    </row>
    <row r="37" spans="1:22" s="149" customFormat="1" ht="11.25" customHeight="1" thickTop="1" thickBot="1" x14ac:dyDescent="0.2">
      <c r="A37" s="143" t="s">
        <v>513</v>
      </c>
      <c r="B37" s="144"/>
      <c r="C37" s="145"/>
      <c r="D37" s="144"/>
      <c r="E37" s="146"/>
      <c r="F37" s="144"/>
      <c r="G37" s="145"/>
      <c r="H37" s="147"/>
      <c r="I37" s="144"/>
      <c r="J37" s="148"/>
      <c r="K37" s="191"/>
      <c r="L37" s="292"/>
      <c r="M37" s="292"/>
      <c r="N37" s="292"/>
      <c r="O37" s="292"/>
      <c r="P37" s="292"/>
      <c r="Q37" s="292"/>
      <c r="R37" s="292"/>
      <c r="S37" s="292"/>
      <c r="T37" s="292"/>
      <c r="U37" s="292"/>
      <c r="V37" s="292"/>
    </row>
    <row r="38" spans="1:22" s="101" customFormat="1" ht="15.6" customHeight="1" thickTop="1" thickBot="1" x14ac:dyDescent="0.2">
      <c r="A38" s="86" t="s">
        <v>283</v>
      </c>
      <c r="B38" s="78"/>
      <c r="C38" s="79"/>
      <c r="D38" s="78"/>
      <c r="E38" s="116"/>
      <c r="F38" s="78"/>
      <c r="G38" s="79"/>
      <c r="H38" s="129" t="s">
        <v>511</v>
      </c>
      <c r="I38" s="100"/>
      <c r="J38" s="117"/>
      <c r="K38" s="190"/>
      <c r="L38" s="429" t="s">
        <v>636</v>
      </c>
      <c r="M38" s="431"/>
      <c r="N38" s="431"/>
      <c r="O38" s="431"/>
      <c r="P38" s="431"/>
      <c r="Q38" s="431"/>
      <c r="R38" s="431"/>
      <c r="S38" s="431"/>
      <c r="T38" s="431"/>
      <c r="U38" s="431"/>
      <c r="V38" s="431"/>
    </row>
    <row r="39" spans="1:22" s="101" customFormat="1" ht="12.95" customHeight="1" thickBot="1" x14ac:dyDescent="0.2">
      <c r="A39" s="177" t="s">
        <v>470</v>
      </c>
      <c r="B39" s="62" t="s">
        <v>272</v>
      </c>
      <c r="C39" s="65"/>
      <c r="D39" s="76" t="s">
        <v>369</v>
      </c>
      <c r="E39" s="116"/>
      <c r="F39" s="180" t="s">
        <v>471</v>
      </c>
      <c r="G39" s="79"/>
      <c r="H39" s="76" t="s">
        <v>49</v>
      </c>
      <c r="I39" s="105"/>
      <c r="J39" s="117"/>
      <c r="K39" s="190"/>
      <c r="L39" s="429"/>
      <c r="M39" s="431"/>
      <c r="N39" s="431"/>
      <c r="O39" s="431"/>
      <c r="P39" s="431"/>
      <c r="Q39" s="431"/>
      <c r="R39" s="431"/>
      <c r="S39" s="431"/>
      <c r="T39" s="431"/>
      <c r="U39" s="431"/>
      <c r="V39" s="431"/>
    </row>
    <row r="40" spans="1:22" s="101" customFormat="1" ht="12.95" customHeight="1" thickBot="1" x14ac:dyDescent="0.2">
      <c r="A40" s="178" t="s">
        <v>472</v>
      </c>
      <c r="B40" s="62" t="s">
        <v>274</v>
      </c>
      <c r="C40" s="65"/>
      <c r="D40" s="109">
        <v>42000</v>
      </c>
      <c r="E40" s="117" t="s">
        <v>514</v>
      </c>
      <c r="F40" s="182" t="s">
        <v>473</v>
      </c>
      <c r="G40" s="79"/>
      <c r="H40" s="109">
        <v>2700000</v>
      </c>
      <c r="I40" s="103" t="s">
        <v>510</v>
      </c>
      <c r="J40" s="117"/>
      <c r="K40" s="190"/>
      <c r="L40" s="429"/>
      <c r="M40" s="431"/>
      <c r="N40" s="431"/>
      <c r="O40" s="431"/>
      <c r="P40" s="431"/>
      <c r="Q40" s="431"/>
      <c r="R40" s="431"/>
      <c r="S40" s="431"/>
      <c r="T40" s="431"/>
      <c r="U40" s="431"/>
      <c r="V40" s="431"/>
    </row>
    <row r="41" spans="1:22" s="101" customFormat="1" ht="12.95" customHeight="1" thickBot="1" x14ac:dyDescent="0.2">
      <c r="A41" s="178" t="s">
        <v>474</v>
      </c>
      <c r="B41" s="62" t="s">
        <v>273</v>
      </c>
      <c r="C41" s="65"/>
      <c r="D41" s="76" t="s">
        <v>369</v>
      </c>
      <c r="E41" s="116"/>
      <c r="F41" s="182" t="s">
        <v>475</v>
      </c>
      <c r="G41" s="79"/>
      <c r="H41" s="76" t="s">
        <v>49</v>
      </c>
      <c r="I41" s="105"/>
      <c r="J41" s="117"/>
      <c r="K41" s="190"/>
      <c r="L41" s="429"/>
      <c r="M41" s="431"/>
      <c r="N41" s="431"/>
      <c r="O41" s="431"/>
      <c r="P41" s="431"/>
      <c r="Q41" s="431"/>
      <c r="R41" s="431"/>
      <c r="S41" s="431"/>
      <c r="T41" s="431"/>
      <c r="U41" s="431"/>
      <c r="V41" s="431"/>
    </row>
    <row r="42" spans="1:22" s="101" customFormat="1" ht="12.95" customHeight="1" thickBot="1" x14ac:dyDescent="0.2">
      <c r="A42" s="178" t="s">
        <v>476</v>
      </c>
      <c r="B42" s="62" t="s">
        <v>275</v>
      </c>
      <c r="C42" s="65"/>
      <c r="D42" s="109">
        <v>0</v>
      </c>
      <c r="E42" s="117" t="s">
        <v>514</v>
      </c>
      <c r="F42" s="182" t="s">
        <v>477</v>
      </c>
      <c r="G42" s="79"/>
      <c r="H42" s="109">
        <v>0</v>
      </c>
      <c r="I42" s="123" t="s">
        <v>510</v>
      </c>
      <c r="J42" s="117"/>
      <c r="K42" s="190"/>
      <c r="L42" s="429"/>
      <c r="M42" s="431"/>
      <c r="N42" s="431"/>
      <c r="O42" s="431"/>
      <c r="P42" s="431"/>
      <c r="Q42" s="431"/>
      <c r="R42" s="431"/>
      <c r="S42" s="431"/>
      <c r="T42" s="431"/>
      <c r="U42" s="431"/>
      <c r="V42" s="431"/>
    </row>
    <row r="43" spans="1:22" s="101" customFormat="1" ht="12.95" customHeight="1" thickBot="1" x14ac:dyDescent="0.2">
      <c r="A43" s="178" t="s">
        <v>478</v>
      </c>
      <c r="B43" s="151" t="s">
        <v>306</v>
      </c>
      <c r="C43" s="65"/>
      <c r="D43" s="76" t="s">
        <v>369</v>
      </c>
      <c r="E43" s="116"/>
      <c r="F43" s="182" t="s">
        <v>479</v>
      </c>
      <c r="G43" s="79"/>
      <c r="H43" s="76" t="s">
        <v>49</v>
      </c>
      <c r="I43" s="124"/>
      <c r="J43" s="117"/>
      <c r="K43" s="190"/>
      <c r="L43" s="429"/>
      <c r="M43" s="431"/>
      <c r="N43" s="431"/>
      <c r="O43" s="431"/>
      <c r="P43" s="431"/>
      <c r="Q43" s="431"/>
      <c r="R43" s="431"/>
      <c r="S43" s="431"/>
      <c r="T43" s="431"/>
      <c r="U43" s="431"/>
      <c r="V43" s="431"/>
    </row>
    <row r="44" spans="1:22" s="101" customFormat="1" ht="12.95" customHeight="1" thickBot="1" x14ac:dyDescent="0.2">
      <c r="A44" s="179" t="s">
        <v>480</v>
      </c>
      <c r="B44" s="88" t="s">
        <v>307</v>
      </c>
      <c r="C44" s="72"/>
      <c r="D44" s="109">
        <v>3500</v>
      </c>
      <c r="E44" s="119" t="s">
        <v>514</v>
      </c>
      <c r="F44" s="184" t="s">
        <v>481</v>
      </c>
      <c r="G44" s="121"/>
      <c r="H44" s="109">
        <v>0</v>
      </c>
      <c r="I44" s="123" t="s">
        <v>510</v>
      </c>
      <c r="J44" s="117"/>
      <c r="K44" s="190"/>
      <c r="L44" s="429"/>
      <c r="M44" s="431"/>
      <c r="N44" s="431"/>
      <c r="O44" s="431"/>
      <c r="P44" s="431"/>
      <c r="Q44" s="431"/>
      <c r="R44" s="431"/>
      <c r="S44" s="431"/>
      <c r="T44" s="431"/>
      <c r="U44" s="431"/>
      <c r="V44" s="431"/>
    </row>
    <row r="45" spans="1:22" s="101" customFormat="1" ht="7.5" customHeight="1" thickTop="1" thickBot="1" x14ac:dyDescent="0.2">
      <c r="A45" s="81"/>
      <c r="B45" s="81"/>
      <c r="C45" s="87"/>
      <c r="D45" s="81"/>
      <c r="E45" s="122"/>
      <c r="F45" s="81"/>
      <c r="G45" s="87"/>
      <c r="H45" s="81"/>
      <c r="I45" s="126"/>
      <c r="J45" s="117"/>
      <c r="K45" s="190"/>
      <c r="L45" s="429"/>
      <c r="M45" s="431"/>
      <c r="N45" s="431"/>
      <c r="O45" s="431"/>
      <c r="P45" s="431"/>
      <c r="Q45" s="431"/>
      <c r="R45" s="431"/>
      <c r="S45" s="431"/>
      <c r="T45" s="431"/>
      <c r="U45" s="431"/>
      <c r="V45" s="431"/>
    </row>
    <row r="46" spans="1:22" s="101" customFormat="1" ht="15.6" customHeight="1" thickTop="1" thickBot="1" x14ac:dyDescent="0.2">
      <c r="A46" s="89" t="s">
        <v>314</v>
      </c>
      <c r="B46" s="78"/>
      <c r="C46" s="79"/>
      <c r="D46" s="78"/>
      <c r="E46" s="116"/>
      <c r="F46" s="78"/>
      <c r="G46" s="79"/>
      <c r="H46" s="129" t="s">
        <v>511</v>
      </c>
      <c r="I46" s="100"/>
      <c r="J46" s="117"/>
      <c r="K46" s="190"/>
      <c r="L46" s="429"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2022年１月分の報告省令レート（ただし、米ドルと日本円間のレートについては同年１月１日時点の最新の為替レート）を用いてください。</v>
      </c>
      <c r="M46" s="432"/>
      <c r="N46" s="432"/>
      <c r="O46" s="432"/>
      <c r="P46" s="432"/>
      <c r="Q46" s="432"/>
      <c r="R46" s="432"/>
      <c r="S46" s="432"/>
      <c r="T46" s="432"/>
      <c r="U46" s="432"/>
      <c r="V46" s="432"/>
    </row>
    <row r="47" spans="1:22" s="101" customFormat="1" ht="12.95" customHeight="1" thickBot="1" x14ac:dyDescent="0.2">
      <c r="A47" s="178" t="s">
        <v>482</v>
      </c>
      <c r="B47" s="62" t="s">
        <v>0</v>
      </c>
      <c r="C47" s="65"/>
      <c r="D47" s="60">
        <v>0</v>
      </c>
      <c r="E47" s="117" t="s">
        <v>48</v>
      </c>
      <c r="F47" s="180" t="s">
        <v>483</v>
      </c>
      <c r="G47" s="79"/>
      <c r="H47" s="60">
        <v>2</v>
      </c>
      <c r="I47" s="103" t="s">
        <v>48</v>
      </c>
      <c r="J47" s="117"/>
      <c r="K47" s="190"/>
      <c r="L47" s="433"/>
      <c r="M47" s="432"/>
      <c r="N47" s="432"/>
      <c r="O47" s="432"/>
      <c r="P47" s="432"/>
      <c r="Q47" s="432"/>
      <c r="R47" s="432"/>
      <c r="S47" s="432"/>
      <c r="T47" s="432"/>
      <c r="U47" s="432"/>
      <c r="V47" s="432"/>
    </row>
    <row r="48" spans="1:22" s="101" customFormat="1" ht="12.95" customHeight="1" thickBot="1" x14ac:dyDescent="0.2">
      <c r="A48" s="178" t="s">
        <v>484</v>
      </c>
      <c r="B48" s="62" t="s">
        <v>1</v>
      </c>
      <c r="C48" s="65"/>
      <c r="D48" s="60">
        <v>0</v>
      </c>
      <c r="E48" s="117" t="s">
        <v>48</v>
      </c>
      <c r="F48" s="182" t="s">
        <v>485</v>
      </c>
      <c r="G48" s="79"/>
      <c r="H48" s="60">
        <v>0</v>
      </c>
      <c r="I48" s="103" t="s">
        <v>48</v>
      </c>
      <c r="J48" s="117"/>
      <c r="K48" s="190"/>
      <c r="L48" s="433"/>
      <c r="M48" s="432"/>
      <c r="N48" s="432"/>
      <c r="O48" s="432"/>
      <c r="P48" s="432"/>
      <c r="Q48" s="432"/>
      <c r="R48" s="432"/>
      <c r="S48" s="432"/>
      <c r="T48" s="432"/>
      <c r="U48" s="432"/>
      <c r="V48" s="432"/>
    </row>
    <row r="49" spans="1:22" s="101" customFormat="1" ht="12.95" customHeight="1" thickBot="1" x14ac:dyDescent="0.2">
      <c r="A49" s="178" t="s">
        <v>486</v>
      </c>
      <c r="B49" s="62" t="s">
        <v>2</v>
      </c>
      <c r="C49" s="65"/>
      <c r="D49" s="60">
        <v>1</v>
      </c>
      <c r="E49" s="117" t="s">
        <v>48</v>
      </c>
      <c r="F49" s="182" t="s">
        <v>487</v>
      </c>
      <c r="G49" s="79"/>
      <c r="H49" s="60">
        <v>0</v>
      </c>
      <c r="I49" s="103" t="s">
        <v>48</v>
      </c>
      <c r="J49" s="117"/>
      <c r="K49" s="190"/>
      <c r="L49" s="433"/>
      <c r="M49" s="432"/>
      <c r="N49" s="432"/>
      <c r="O49" s="432"/>
      <c r="P49" s="432"/>
      <c r="Q49" s="432"/>
      <c r="R49" s="432"/>
      <c r="S49" s="432"/>
      <c r="T49" s="432"/>
      <c r="U49" s="432"/>
      <c r="V49" s="432"/>
    </row>
    <row r="50" spans="1:22" s="101" customFormat="1" ht="12.95" customHeight="1" thickBot="1" x14ac:dyDescent="0.2">
      <c r="A50" s="178" t="s">
        <v>488</v>
      </c>
      <c r="B50" s="62" t="s">
        <v>3</v>
      </c>
      <c r="C50" s="65"/>
      <c r="D50" s="60">
        <v>0</v>
      </c>
      <c r="E50" s="117" t="s">
        <v>48</v>
      </c>
      <c r="F50" s="182" t="s">
        <v>489</v>
      </c>
      <c r="G50" s="79"/>
      <c r="H50" s="60">
        <v>0</v>
      </c>
      <c r="I50" s="103" t="s">
        <v>48</v>
      </c>
      <c r="J50" s="117"/>
      <c r="K50" s="190"/>
      <c r="L50" s="429" t="s">
        <v>632</v>
      </c>
      <c r="M50" s="431"/>
      <c r="N50" s="431"/>
      <c r="O50" s="431"/>
      <c r="P50" s="431"/>
      <c r="Q50" s="431"/>
      <c r="R50" s="431"/>
      <c r="S50" s="431"/>
      <c r="T50" s="431"/>
      <c r="U50" s="431"/>
      <c r="V50" s="431"/>
    </row>
    <row r="51" spans="1:22" s="101" customFormat="1" ht="12.95" customHeight="1" thickBot="1" x14ac:dyDescent="0.2">
      <c r="A51" s="178" t="s">
        <v>490</v>
      </c>
      <c r="B51" s="62" t="s">
        <v>4</v>
      </c>
      <c r="C51" s="65"/>
      <c r="D51" s="60">
        <v>0</v>
      </c>
      <c r="E51" s="117" t="s">
        <v>48</v>
      </c>
      <c r="F51" s="182" t="s">
        <v>491</v>
      </c>
      <c r="G51" s="79"/>
      <c r="H51" s="60">
        <v>0</v>
      </c>
      <c r="I51" s="103" t="s">
        <v>48</v>
      </c>
      <c r="J51" s="117"/>
      <c r="K51" s="190"/>
      <c r="L51" s="429"/>
      <c r="M51" s="431"/>
      <c r="N51" s="431"/>
      <c r="O51" s="431"/>
      <c r="P51" s="431"/>
      <c r="Q51" s="431"/>
      <c r="R51" s="431"/>
      <c r="S51" s="431"/>
      <c r="T51" s="431"/>
      <c r="U51" s="431"/>
      <c r="V51" s="431"/>
    </row>
    <row r="52" spans="1:22" s="101" customFormat="1" ht="12.95" customHeight="1" thickBot="1" x14ac:dyDescent="0.2">
      <c r="A52" s="178" t="s">
        <v>492</v>
      </c>
      <c r="B52" s="62" t="s">
        <v>5</v>
      </c>
      <c r="C52" s="65"/>
      <c r="D52" s="60">
        <v>0</v>
      </c>
      <c r="E52" s="117" t="s">
        <v>48</v>
      </c>
      <c r="F52" s="182" t="s">
        <v>493</v>
      </c>
      <c r="G52" s="79"/>
      <c r="H52" s="60">
        <v>0</v>
      </c>
      <c r="I52" s="103" t="s">
        <v>48</v>
      </c>
      <c r="J52" s="117"/>
      <c r="K52" s="190"/>
      <c r="L52" s="429"/>
      <c r="M52" s="431"/>
      <c r="N52" s="431"/>
      <c r="O52" s="431"/>
      <c r="P52" s="431"/>
      <c r="Q52" s="431"/>
      <c r="R52" s="431"/>
      <c r="S52" s="431"/>
      <c r="T52" s="431"/>
      <c r="U52" s="431"/>
      <c r="V52" s="431"/>
    </row>
    <row r="53" spans="1:22" s="101" customFormat="1" ht="12.95" customHeight="1" thickBot="1" x14ac:dyDescent="0.2">
      <c r="A53" s="178" t="s">
        <v>494</v>
      </c>
      <c r="B53" s="62" t="s">
        <v>302</v>
      </c>
      <c r="C53" s="65"/>
      <c r="D53" s="60">
        <v>0</v>
      </c>
      <c r="E53" s="117" t="s">
        <v>48</v>
      </c>
      <c r="F53" s="182" t="s">
        <v>495</v>
      </c>
      <c r="G53" s="79"/>
      <c r="H53" s="60">
        <v>0</v>
      </c>
      <c r="I53" s="103" t="s">
        <v>48</v>
      </c>
      <c r="J53" s="117"/>
      <c r="K53" s="190"/>
      <c r="L53" s="429" t="s">
        <v>400</v>
      </c>
      <c r="M53" s="431"/>
      <c r="N53" s="431"/>
      <c r="O53" s="431"/>
      <c r="P53" s="431"/>
      <c r="Q53" s="431"/>
      <c r="R53" s="431"/>
      <c r="S53" s="431"/>
      <c r="T53" s="431"/>
      <c r="U53" s="431"/>
      <c r="V53" s="431"/>
    </row>
    <row r="54" spans="1:22" s="101" customFormat="1" ht="12.95" customHeight="1" thickBot="1" x14ac:dyDescent="0.2">
      <c r="A54" s="178" t="s">
        <v>496</v>
      </c>
      <c r="B54" s="63" t="s">
        <v>303</v>
      </c>
      <c r="C54" s="67"/>
      <c r="D54" s="60">
        <v>0</v>
      </c>
      <c r="E54" s="117" t="s">
        <v>48</v>
      </c>
      <c r="F54" s="182" t="s">
        <v>497</v>
      </c>
      <c r="G54" s="79"/>
      <c r="H54" s="60">
        <v>0</v>
      </c>
      <c r="I54" s="103" t="s">
        <v>48</v>
      </c>
      <c r="J54" s="117"/>
      <c r="K54" s="190"/>
      <c r="L54" s="429"/>
      <c r="M54" s="431"/>
      <c r="N54" s="431"/>
      <c r="O54" s="431"/>
      <c r="P54" s="431"/>
      <c r="Q54" s="431"/>
      <c r="R54" s="431"/>
      <c r="S54" s="431"/>
      <c r="T54" s="431"/>
      <c r="U54" s="431"/>
      <c r="V54" s="431"/>
    </row>
    <row r="55" spans="1:22" s="101" customFormat="1" ht="12.95" customHeight="1" thickBot="1" x14ac:dyDescent="0.2">
      <c r="A55" s="179" t="s">
        <v>498</v>
      </c>
      <c r="B55" s="127" t="s">
        <v>304</v>
      </c>
      <c r="C55" s="85"/>
      <c r="D55" s="60">
        <v>0</v>
      </c>
      <c r="E55" s="119" t="s">
        <v>48</v>
      </c>
      <c r="F55" s="185" t="s">
        <v>499</v>
      </c>
      <c r="G55" s="121"/>
      <c r="H55" s="60">
        <v>0</v>
      </c>
      <c r="I55" s="111" t="s">
        <v>48</v>
      </c>
      <c r="J55" s="117"/>
      <c r="K55" s="190"/>
      <c r="L55" s="429"/>
      <c r="M55" s="431"/>
      <c r="N55" s="431"/>
      <c r="O55" s="431"/>
      <c r="P55" s="431"/>
      <c r="Q55" s="431"/>
      <c r="R55" s="431"/>
      <c r="S55" s="431"/>
      <c r="T55" s="431"/>
      <c r="U55" s="431"/>
      <c r="V55" s="431"/>
    </row>
    <row r="56" spans="1:22" ht="6.6" customHeight="1" thickTop="1" x14ac:dyDescent="0.15">
      <c r="C56" s="68"/>
      <c r="D56" s="69"/>
      <c r="E56" s="70"/>
      <c r="G56" s="68"/>
      <c r="H56" s="71"/>
      <c r="I56" s="71"/>
      <c r="J56" s="70"/>
      <c r="K56" s="189"/>
      <c r="L56" s="193"/>
      <c r="M56" s="193"/>
      <c r="N56" s="193"/>
      <c r="O56" s="193"/>
      <c r="P56" s="193"/>
      <c r="Q56" s="193"/>
      <c r="R56" s="193"/>
      <c r="S56" s="193"/>
      <c r="T56" s="193"/>
      <c r="U56" s="193"/>
      <c r="V56" s="193"/>
    </row>
    <row r="57" spans="1:22" ht="12.75" hidden="1" customHeight="1" x14ac:dyDescent="0.15">
      <c r="B57" t="s">
        <v>294</v>
      </c>
      <c r="K57" s="189"/>
      <c r="L57" s="193"/>
      <c r="M57" s="193"/>
      <c r="N57" s="193"/>
      <c r="O57" s="193"/>
      <c r="P57" s="193"/>
      <c r="Q57" s="193"/>
      <c r="R57" s="193"/>
      <c r="S57" s="193"/>
      <c r="T57" s="193"/>
      <c r="U57" s="193"/>
      <c r="V57" s="193"/>
    </row>
    <row r="58" spans="1:22" ht="17.25" hidden="1" customHeight="1" thickBot="1" x14ac:dyDescent="0.4">
      <c r="B58" s="80" t="s">
        <v>38</v>
      </c>
      <c r="C58" s="80"/>
      <c r="D58" s="186" t="s">
        <v>500</v>
      </c>
      <c r="E58" s="80"/>
      <c r="H58" s="80" t="s">
        <v>372</v>
      </c>
      <c r="I58" s="80"/>
      <c r="K58" s="189"/>
      <c r="L58" s="193" t="s">
        <v>375</v>
      </c>
      <c r="M58" s="193"/>
      <c r="N58" s="193"/>
      <c r="O58" s="193"/>
      <c r="P58" s="193"/>
      <c r="Q58" s="193"/>
      <c r="R58" s="193"/>
      <c r="S58" s="193"/>
      <c r="T58" s="193"/>
      <c r="U58" s="193"/>
      <c r="V58" s="193"/>
    </row>
    <row r="59" spans="1:22" ht="23.25" hidden="1" customHeight="1" thickBot="1" x14ac:dyDescent="0.25">
      <c r="B59" s="91" t="s">
        <v>279</v>
      </c>
      <c r="C59" s="91"/>
      <c r="D59" s="187" t="s">
        <v>370</v>
      </c>
      <c r="E59" s="91"/>
      <c r="H59" s="80" t="s">
        <v>373</v>
      </c>
      <c r="I59" s="80"/>
      <c r="K59" s="189"/>
      <c r="L59" s="193"/>
      <c r="M59" s="193"/>
      <c r="N59" s="193"/>
      <c r="O59" s="193"/>
      <c r="P59" s="193"/>
      <c r="Q59" s="193"/>
      <c r="R59" s="193"/>
      <c r="S59" s="193"/>
      <c r="T59" s="193"/>
      <c r="U59" s="193"/>
      <c r="V59" s="193"/>
    </row>
    <row r="60" spans="1:22" ht="6.75" customHeight="1" x14ac:dyDescent="0.15">
      <c r="K60" s="189"/>
      <c r="L60" s="193"/>
      <c r="M60" s="193"/>
      <c r="N60" s="193"/>
      <c r="O60" s="193"/>
      <c r="P60" s="193"/>
      <c r="Q60" s="193"/>
      <c r="R60" s="193"/>
      <c r="S60" s="193"/>
      <c r="T60" s="193"/>
      <c r="U60" s="193"/>
      <c r="V60" s="193"/>
    </row>
    <row r="61" spans="1:22" x14ac:dyDescent="0.15">
      <c r="B61" t="s">
        <v>310</v>
      </c>
      <c r="K61" s="189"/>
      <c r="L61" s="193" t="s">
        <v>626</v>
      </c>
      <c r="M61" s="193"/>
      <c r="N61" s="193"/>
      <c r="O61" s="193"/>
      <c r="P61" s="193"/>
      <c r="Q61" s="193"/>
      <c r="R61" s="193"/>
      <c r="S61" s="193"/>
      <c r="T61" s="193"/>
      <c r="U61" s="193"/>
      <c r="V61" s="193"/>
    </row>
    <row r="62" spans="1:22" ht="13.5" customHeight="1" x14ac:dyDescent="0.15">
      <c r="B62" s="97" t="s">
        <v>395</v>
      </c>
      <c r="K62" s="189"/>
      <c r="L62" s="429" t="s">
        <v>638</v>
      </c>
      <c r="M62" s="430"/>
      <c r="N62" s="430"/>
      <c r="O62" s="430"/>
      <c r="P62" s="430"/>
      <c r="Q62" s="430"/>
      <c r="R62" s="430"/>
      <c r="S62" s="430"/>
      <c r="T62" s="430"/>
      <c r="U62" s="430"/>
      <c r="V62" s="430"/>
    </row>
    <row r="63" spans="1:22" ht="13.5" customHeight="1" x14ac:dyDescent="0.15">
      <c r="B63" s="98" t="s">
        <v>311</v>
      </c>
      <c r="K63" s="189"/>
      <c r="L63" s="429"/>
      <c r="M63" s="430"/>
      <c r="N63" s="430"/>
      <c r="O63" s="430"/>
      <c r="P63" s="430"/>
      <c r="Q63" s="430"/>
      <c r="R63" s="430"/>
      <c r="S63" s="430"/>
      <c r="T63" s="430"/>
      <c r="U63" s="430"/>
      <c r="V63" s="430"/>
    </row>
    <row r="64" spans="1:22" x14ac:dyDescent="0.15">
      <c r="B64" s="98" t="s">
        <v>415</v>
      </c>
      <c r="K64" s="189"/>
      <c r="L64" s="429"/>
      <c r="M64" s="430"/>
      <c r="N64" s="430"/>
      <c r="O64" s="430"/>
      <c r="P64" s="430"/>
      <c r="Q64" s="430"/>
      <c r="R64" s="430"/>
      <c r="S64" s="430"/>
      <c r="T64" s="430"/>
      <c r="U64" s="430"/>
      <c r="V64" s="430"/>
    </row>
    <row r="65" spans="1:22" ht="13.5" customHeight="1" x14ac:dyDescent="0.15">
      <c r="B65" s="98" t="s">
        <v>394</v>
      </c>
      <c r="K65" s="189"/>
      <c r="L65" s="429"/>
      <c r="M65" s="430"/>
      <c r="N65" s="430"/>
      <c r="O65" s="430"/>
      <c r="P65" s="430"/>
      <c r="Q65" s="430"/>
      <c r="R65" s="430"/>
      <c r="S65" s="430"/>
      <c r="T65" s="430"/>
      <c r="U65" s="430"/>
      <c r="V65" s="430"/>
    </row>
    <row r="66" spans="1:22" x14ac:dyDescent="0.15">
      <c r="B66" s="152" t="s">
        <v>416</v>
      </c>
      <c r="C66" s="153"/>
      <c r="D66" s="153"/>
      <c r="E66" s="153"/>
      <c r="F66" s="153"/>
      <c r="G66" s="153"/>
      <c r="H66" s="153"/>
      <c r="K66" s="189"/>
      <c r="L66" s="429" t="s">
        <v>637</v>
      </c>
      <c r="M66" s="430"/>
      <c r="N66" s="430"/>
      <c r="O66" s="430"/>
      <c r="P66" s="430"/>
      <c r="Q66" s="430"/>
      <c r="R66" s="430"/>
      <c r="S66" s="430"/>
      <c r="T66" s="430"/>
      <c r="U66" s="430"/>
      <c r="V66" s="430"/>
    </row>
    <row r="67" spans="1:22" x14ac:dyDescent="0.15">
      <c r="A67" s="59"/>
      <c r="B67" s="203" t="s">
        <v>501</v>
      </c>
      <c r="C67" s="59"/>
      <c r="D67" s="59"/>
      <c r="E67" s="59"/>
      <c r="F67" s="59"/>
      <c r="G67" s="59"/>
      <c r="H67" s="59"/>
      <c r="I67" s="59"/>
      <c r="J67" s="59"/>
      <c r="K67" s="189"/>
      <c r="L67" s="429"/>
      <c r="M67" s="430"/>
      <c r="N67" s="430"/>
      <c r="O67" s="430"/>
      <c r="P67" s="430"/>
      <c r="Q67" s="430"/>
      <c r="R67" s="430"/>
      <c r="S67" s="430"/>
      <c r="T67" s="430"/>
      <c r="U67" s="430"/>
      <c r="V67" s="430"/>
    </row>
    <row r="68" spans="1:22" ht="10.5" customHeight="1" x14ac:dyDescent="0.15">
      <c r="A68" s="142"/>
      <c r="B68" s="204" t="s">
        <v>417</v>
      </c>
      <c r="C68" s="142"/>
      <c r="D68" s="142"/>
      <c r="E68" s="142"/>
      <c r="F68" s="142"/>
      <c r="G68" s="142"/>
      <c r="H68" s="142"/>
      <c r="I68" s="142"/>
      <c r="J68" s="142"/>
      <c r="K68" s="142"/>
      <c r="L68" s="429"/>
      <c r="M68" s="430"/>
      <c r="N68" s="430"/>
      <c r="O68" s="430"/>
      <c r="P68" s="430"/>
      <c r="Q68" s="430"/>
      <c r="R68" s="430"/>
      <c r="S68" s="430"/>
      <c r="T68" s="430"/>
      <c r="U68" s="430"/>
      <c r="V68" s="430"/>
    </row>
    <row r="69" spans="1:22" ht="10.5" customHeight="1" x14ac:dyDescent="0.15">
      <c r="B69" s="95" t="s">
        <v>301</v>
      </c>
      <c r="L69" s="429"/>
      <c r="M69" s="430"/>
      <c r="N69" s="430"/>
      <c r="O69" s="430"/>
      <c r="P69" s="430"/>
      <c r="Q69" s="430"/>
      <c r="R69" s="430"/>
      <c r="S69" s="430"/>
      <c r="T69" s="430"/>
      <c r="U69" s="430"/>
      <c r="V69" s="430"/>
    </row>
    <row r="70" spans="1:22" x14ac:dyDescent="0.15">
      <c r="A70" s="94"/>
      <c r="B70" s="132" t="s">
        <v>502</v>
      </c>
      <c r="C70" s="133"/>
      <c r="D70" s="134">
        <v>0</v>
      </c>
      <c r="E70" s="135"/>
      <c r="F70" s="416"/>
      <c r="G70" s="417"/>
      <c r="H70" s="417"/>
      <c r="I70" s="418"/>
      <c r="K70" s="189"/>
      <c r="L70" s="429" t="s">
        <v>639</v>
      </c>
      <c r="M70" s="430"/>
      <c r="N70" s="430"/>
      <c r="O70" s="430"/>
      <c r="P70" s="430"/>
      <c r="Q70" s="430"/>
      <c r="R70" s="430"/>
      <c r="S70" s="430"/>
      <c r="T70" s="430"/>
      <c r="U70" s="430"/>
      <c r="V70" s="430"/>
    </row>
    <row r="71" spans="1:22" ht="10.5" customHeight="1" x14ac:dyDescent="0.15">
      <c r="A71" s="96"/>
      <c r="B71" s="136" t="s">
        <v>503</v>
      </c>
      <c r="C71" s="137"/>
      <c r="D71" s="138">
        <v>0</v>
      </c>
      <c r="E71" s="139"/>
      <c r="F71" s="140"/>
      <c r="G71" s="140"/>
      <c r="H71" s="138">
        <v>0</v>
      </c>
      <c r="I71" s="141"/>
      <c r="J71" s="59"/>
      <c r="K71" s="189"/>
      <c r="L71" s="429"/>
      <c r="M71" s="430"/>
      <c r="N71" s="430"/>
      <c r="O71" s="430"/>
      <c r="P71" s="430"/>
      <c r="Q71" s="430"/>
      <c r="R71" s="430"/>
      <c r="S71" s="430"/>
      <c r="T71" s="430"/>
      <c r="U71" s="430"/>
      <c r="V71" s="430"/>
    </row>
    <row r="72" spans="1:22" ht="10.5" customHeight="1" x14ac:dyDescent="0.15">
      <c r="B72" s="154" t="s">
        <v>504</v>
      </c>
      <c r="C72" s="155"/>
      <c r="D72" s="156">
        <v>0</v>
      </c>
      <c r="E72" s="157"/>
      <c r="F72" s="158"/>
      <c r="G72" s="158"/>
      <c r="H72" s="156">
        <v>0</v>
      </c>
      <c r="I72" s="159"/>
      <c r="J72" s="59"/>
      <c r="K72" s="189"/>
      <c r="L72" s="347" t="s">
        <v>425</v>
      </c>
      <c r="M72" s="393"/>
      <c r="N72" s="393"/>
      <c r="O72" s="393"/>
      <c r="P72" s="393"/>
      <c r="Q72" s="393"/>
      <c r="R72" s="393"/>
      <c r="S72" s="393"/>
      <c r="T72" s="393"/>
      <c r="U72" s="393"/>
      <c r="V72" s="393"/>
    </row>
    <row r="73" spans="1:22" ht="10.5" customHeight="1" x14ac:dyDescent="0.15">
      <c r="B73" s="160" t="s">
        <v>505</v>
      </c>
      <c r="C73" s="161"/>
      <c r="D73" s="162">
        <v>0</v>
      </c>
      <c r="E73" s="163"/>
      <c r="F73" s="164"/>
      <c r="G73" s="164"/>
      <c r="H73" s="162">
        <v>0</v>
      </c>
      <c r="I73" s="165"/>
      <c r="K73" s="192" t="s">
        <v>508</v>
      </c>
      <c r="L73" s="392" t="s">
        <v>640</v>
      </c>
      <c r="M73" s="393"/>
      <c r="N73" s="393"/>
      <c r="O73" s="393"/>
      <c r="P73" s="393"/>
      <c r="Q73" s="393"/>
      <c r="R73" s="393"/>
      <c r="S73" s="393"/>
      <c r="T73" s="393"/>
      <c r="U73" s="393"/>
      <c r="V73" s="393"/>
    </row>
    <row r="74" spans="1:22" ht="10.5" customHeight="1" x14ac:dyDescent="0.15"/>
  </sheetData>
  <sheetProtection algorithmName="SHA-512" hashValue="cK3bSuINkNox8AWz3tMzWY3sld+cYrCIw6KyGZW3d+Es3hxja2lAZsWFEsK1+KkmIGAEazfwfOEWGsG99ARr3w==" saltValue="qIjohYcESSo/pWGlRGnwog==" spinCount="100000" sheet="1" objects="1" scenarios="1"/>
  <protectedRanges>
    <protectedRange sqref="H8" name="範囲1"/>
    <protectedRange sqref="D19" name="範囲1_1"/>
    <protectedRange sqref="D31" name="範囲1_2"/>
    <protectedRange sqref="H31" name="範囲1_3"/>
  </protectedRanges>
  <mergeCells count="21">
    <mergeCell ref="L46:V49"/>
    <mergeCell ref="L53:V55"/>
    <mergeCell ref="L70:V71"/>
    <mergeCell ref="L66:V69"/>
    <mergeCell ref="L62:V65"/>
    <mergeCell ref="F70:I70"/>
    <mergeCell ref="A1:I1"/>
    <mergeCell ref="L1:V1"/>
    <mergeCell ref="B5:I6"/>
    <mergeCell ref="L7:V8"/>
    <mergeCell ref="E8:G8"/>
    <mergeCell ref="E10:G10"/>
    <mergeCell ref="E12:G12"/>
    <mergeCell ref="L4:V6"/>
    <mergeCell ref="L9:V11"/>
    <mergeCell ref="L12:V14"/>
    <mergeCell ref="L15:V18"/>
    <mergeCell ref="L24:V27"/>
    <mergeCell ref="L32:V34"/>
    <mergeCell ref="L38:V45"/>
    <mergeCell ref="L50:V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1:I73">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'C:\Users\FAT019\Desktop\20200325\[海外居住者のための収入等申告書_20200106_5.xlsx]計算シート'!#REF!</xm:f>
          </x14:formula1>
          <xm:sqref>H10</xm:sqref>
        </x14:dataValidation>
        <x14:dataValidation type="list" allowBlank="1" showInputMessage="1" showErrorMessage="1">
          <x14:formula1>
            <xm:f>'C:\Users\FAT019\Desktop\20200325\[海外居住者のための収入等申告書_20200106_5.xlsx]計算シート'!#REF!</xm:f>
          </x14:formula1>
          <xm:sqref>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topLeftCell="A10" workbookViewId="0">
      <selection activeCell="L46" sqref="L46:V49"/>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591</v>
      </c>
    </row>
    <row r="3" spans="1:22" ht="17.25" x14ac:dyDescent="0.2">
      <c r="A3" s="7" t="s">
        <v>588</v>
      </c>
      <c r="B3" s="8"/>
      <c r="C3" s="8"/>
      <c r="D3" s="8"/>
      <c r="E3" s="8"/>
      <c r="F3" s="8"/>
      <c r="G3" s="8"/>
      <c r="H3" s="8"/>
      <c r="I3" s="8"/>
      <c r="J3" s="9"/>
      <c r="K3" s="10">
        <v>44183</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589</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3" t="s">
        <v>47</v>
      </c>
      <c r="N11" s="73" t="s">
        <v>14</v>
      </c>
      <c r="O11" s="74" t="s">
        <v>15</v>
      </c>
    </row>
    <row r="12" spans="1:22" x14ac:dyDescent="0.15">
      <c r="A12" s="12"/>
      <c r="B12" s="14"/>
      <c r="C12" s="14"/>
      <c r="D12" s="14"/>
      <c r="E12" s="14"/>
      <c r="F12" s="14"/>
      <c r="G12" s="14"/>
      <c r="H12" s="14"/>
      <c r="I12" s="14"/>
      <c r="J12" s="14"/>
      <c r="K12" s="19"/>
      <c r="L12" s="22" t="s">
        <v>11</v>
      </c>
      <c r="M12" s="73">
        <v>1</v>
      </c>
      <c r="N12" s="74" t="s">
        <v>49</v>
      </c>
      <c r="O12" s="74">
        <v>1</v>
      </c>
    </row>
    <row r="13" spans="1:22" x14ac:dyDescent="0.15">
      <c r="A13" s="12"/>
      <c r="B13" s="14">
        <v>104.79</v>
      </c>
      <c r="C13" s="23" t="s">
        <v>518</v>
      </c>
      <c r="D13" s="24">
        <v>104.79</v>
      </c>
      <c r="E13" s="14" t="s">
        <v>519</v>
      </c>
      <c r="F13" s="14"/>
      <c r="G13" s="14"/>
      <c r="H13" s="14"/>
      <c r="I13" s="25" t="s">
        <v>6</v>
      </c>
      <c r="J13" s="14"/>
      <c r="K13" s="26">
        <v>1</v>
      </c>
      <c r="L13" s="27" t="s">
        <v>7</v>
      </c>
      <c r="M13" s="73">
        <v>2</v>
      </c>
      <c r="N13" s="73" t="s">
        <v>802</v>
      </c>
      <c r="O13" s="74">
        <v>104.79</v>
      </c>
    </row>
    <row r="14" spans="1:22" x14ac:dyDescent="0.15">
      <c r="A14" s="12"/>
      <c r="B14" s="25">
        <v>1</v>
      </c>
      <c r="C14" s="25" t="s">
        <v>520</v>
      </c>
      <c r="D14" s="13"/>
      <c r="E14" s="13"/>
      <c r="F14" s="13"/>
      <c r="G14" s="13"/>
      <c r="H14" s="13"/>
      <c r="I14" s="25" t="s">
        <v>6</v>
      </c>
      <c r="J14" s="14"/>
      <c r="K14" s="28">
        <v>0.76500000000000001</v>
      </c>
      <c r="L14" s="29" t="s">
        <v>7</v>
      </c>
      <c r="M14" s="73">
        <v>3</v>
      </c>
      <c r="N14" s="73" t="s">
        <v>803</v>
      </c>
      <c r="O14" s="75">
        <v>80.164350000000013</v>
      </c>
      <c r="Q14" s="48"/>
      <c r="R14" s="47"/>
      <c r="S14" s="47"/>
      <c r="T14" s="47"/>
      <c r="V14" s="47">
        <f>VALUE($K14)/$B14*$B$13</f>
        <v>80.164350000000013</v>
      </c>
    </row>
    <row r="15" spans="1:22" x14ac:dyDescent="0.15">
      <c r="A15" s="12"/>
      <c r="B15" s="25">
        <v>1</v>
      </c>
      <c r="C15" s="25" t="s">
        <v>521</v>
      </c>
      <c r="D15" s="13"/>
      <c r="E15" s="13"/>
      <c r="F15" s="13"/>
      <c r="G15" s="13"/>
      <c r="H15" s="13"/>
      <c r="I15" s="25" t="s">
        <v>8</v>
      </c>
      <c r="J15" s="14"/>
      <c r="K15" s="28">
        <v>0.151</v>
      </c>
      <c r="L15" s="30" t="s">
        <v>8</v>
      </c>
      <c r="M15" s="73">
        <v>4</v>
      </c>
      <c r="N15" s="73" t="s">
        <v>804</v>
      </c>
      <c r="O15" s="75">
        <v>15.82329</v>
      </c>
    </row>
    <row r="16" spans="1:22" x14ac:dyDescent="0.15">
      <c r="A16" s="12"/>
      <c r="B16" s="25">
        <v>1</v>
      </c>
      <c r="C16" s="25" t="s">
        <v>522</v>
      </c>
      <c r="D16" s="13"/>
      <c r="E16" s="13"/>
      <c r="F16" s="13"/>
      <c r="G16" s="13"/>
      <c r="H16" s="13"/>
      <c r="I16" s="25" t="s">
        <v>8</v>
      </c>
      <c r="J16" s="14"/>
      <c r="K16" s="28">
        <v>0.11600000000000001</v>
      </c>
      <c r="L16" s="30" t="s">
        <v>8</v>
      </c>
      <c r="M16" s="73">
        <v>5</v>
      </c>
      <c r="N16" s="73" t="s">
        <v>805</v>
      </c>
      <c r="O16" s="75">
        <v>12.155640000000002</v>
      </c>
    </row>
    <row r="17" spans="1:15" x14ac:dyDescent="0.15">
      <c r="A17" s="12"/>
      <c r="B17" s="25">
        <v>1</v>
      </c>
      <c r="C17" s="25" t="s">
        <v>523</v>
      </c>
      <c r="D17" s="13"/>
      <c r="E17" s="13"/>
      <c r="F17" s="13"/>
      <c r="G17" s="13"/>
      <c r="H17" s="13"/>
      <c r="I17" s="25" t="s">
        <v>8</v>
      </c>
      <c r="J17" s="14"/>
      <c r="K17" s="28" t="s">
        <v>806</v>
      </c>
      <c r="L17" s="30" t="s">
        <v>8</v>
      </c>
      <c r="M17" s="73">
        <v>6</v>
      </c>
      <c r="N17" s="73" t="s">
        <v>807</v>
      </c>
      <c r="O17" s="75">
        <v>115.26900000000002</v>
      </c>
    </row>
    <row r="18" spans="1:15" ht="15.75" customHeight="1" x14ac:dyDescent="0.15">
      <c r="A18" s="12"/>
      <c r="B18" s="25">
        <v>1</v>
      </c>
      <c r="C18" s="25" t="s">
        <v>524</v>
      </c>
      <c r="D18" s="13"/>
      <c r="E18" s="13"/>
      <c r="F18" s="13"/>
      <c r="G18" s="13"/>
      <c r="H18" s="13"/>
      <c r="I18" s="25" t="s">
        <v>8</v>
      </c>
      <c r="J18" s="14"/>
      <c r="K18" s="28">
        <v>1.32</v>
      </c>
      <c r="L18" s="30" t="s">
        <v>8</v>
      </c>
      <c r="M18" s="73">
        <v>7</v>
      </c>
      <c r="N18" s="73" t="s">
        <v>808</v>
      </c>
      <c r="O18" s="75">
        <v>138.3228</v>
      </c>
    </row>
    <row r="19" spans="1:15" ht="15.75" customHeight="1" x14ac:dyDescent="0.15">
      <c r="A19" s="12"/>
      <c r="B19" s="25">
        <v>1</v>
      </c>
      <c r="C19" s="25" t="s">
        <v>525</v>
      </c>
      <c r="D19" s="13"/>
      <c r="E19" s="13"/>
      <c r="F19" s="13"/>
      <c r="G19" s="13"/>
      <c r="H19" s="13"/>
      <c r="I19" s="25" t="s">
        <v>8</v>
      </c>
      <c r="J19" s="14"/>
      <c r="K19" s="28">
        <v>1.18</v>
      </c>
      <c r="L19" s="30" t="s">
        <v>8</v>
      </c>
      <c r="M19" s="73">
        <v>8</v>
      </c>
      <c r="N19" s="73" t="s">
        <v>809</v>
      </c>
      <c r="O19" s="75">
        <v>123.65220000000001</v>
      </c>
    </row>
    <row r="20" spans="1:15" x14ac:dyDescent="0.15">
      <c r="A20" s="12"/>
      <c r="B20" s="25">
        <v>1</v>
      </c>
      <c r="C20" s="25" t="s">
        <v>526</v>
      </c>
      <c r="D20" s="13"/>
      <c r="E20" s="13"/>
      <c r="F20" s="13"/>
      <c r="G20" s="13"/>
      <c r="H20" s="13"/>
      <c r="I20" s="25" t="s">
        <v>8</v>
      </c>
      <c r="J20" s="14"/>
      <c r="K20" s="28">
        <v>0.27200000000000002</v>
      </c>
      <c r="L20" s="30" t="s">
        <v>8</v>
      </c>
      <c r="M20" s="73">
        <v>9</v>
      </c>
      <c r="N20" s="73" t="s">
        <v>810</v>
      </c>
      <c r="O20" s="75">
        <v>28.502880000000005</v>
      </c>
    </row>
    <row r="21" spans="1:15" x14ac:dyDescent="0.15">
      <c r="A21" s="12"/>
      <c r="B21" s="25">
        <v>1</v>
      </c>
      <c r="C21" s="25" t="s">
        <v>527</v>
      </c>
      <c r="D21" s="13"/>
      <c r="E21" s="13"/>
      <c r="F21" s="13"/>
      <c r="G21" s="13"/>
      <c r="H21" s="13"/>
      <c r="I21" s="25" t="s">
        <v>8</v>
      </c>
      <c r="J21" s="14"/>
      <c r="K21" s="28">
        <v>1.2500000000000001E-2</v>
      </c>
      <c r="L21" s="30" t="s">
        <v>8</v>
      </c>
      <c r="M21" s="73">
        <v>10</v>
      </c>
      <c r="N21" s="73" t="s">
        <v>811</v>
      </c>
      <c r="O21" s="75">
        <v>1.3098750000000001</v>
      </c>
    </row>
    <row r="22" spans="1:15" x14ac:dyDescent="0.15">
      <c r="A22" s="12"/>
      <c r="B22" s="25">
        <v>1</v>
      </c>
      <c r="C22" s="25" t="s">
        <v>528</v>
      </c>
      <c r="D22" s="13"/>
      <c r="E22" s="13"/>
      <c r="F22" s="13"/>
      <c r="G22" s="13"/>
      <c r="H22" s="13"/>
      <c r="I22" s="25" t="s">
        <v>8</v>
      </c>
      <c r="J22" s="14"/>
      <c r="K22" s="28">
        <v>0.29799999999999999</v>
      </c>
      <c r="L22" s="30" t="s">
        <v>8</v>
      </c>
      <c r="M22" s="73">
        <v>11</v>
      </c>
      <c r="N22" s="73" t="s">
        <v>812</v>
      </c>
      <c r="O22" s="75">
        <v>31.227420000000002</v>
      </c>
    </row>
    <row r="23" spans="1:15" x14ac:dyDescent="0.15">
      <c r="A23" s="12"/>
      <c r="B23" s="25">
        <v>1</v>
      </c>
      <c r="C23" s="25" t="s">
        <v>529</v>
      </c>
      <c r="D23" s="13"/>
      <c r="E23" s="13"/>
      <c r="F23" s="31"/>
      <c r="G23" s="13"/>
      <c r="H23" s="13"/>
      <c r="I23" s="25" t="s">
        <v>8</v>
      </c>
      <c r="J23" s="14"/>
      <c r="K23" s="28">
        <v>2.3799999999999999E-5</v>
      </c>
      <c r="L23" s="30" t="s">
        <v>8</v>
      </c>
      <c r="M23" s="73">
        <v>12</v>
      </c>
      <c r="N23" s="73" t="s">
        <v>813</v>
      </c>
      <c r="O23" s="75">
        <v>2.4940019999999999E-3</v>
      </c>
    </row>
    <row r="24" spans="1:15" x14ac:dyDescent="0.15">
      <c r="A24" s="12"/>
      <c r="B24" s="25">
        <v>1</v>
      </c>
      <c r="C24" s="25" t="s">
        <v>530</v>
      </c>
      <c r="D24" s="13"/>
      <c r="E24" s="13"/>
      <c r="F24" s="13"/>
      <c r="G24" s="13"/>
      <c r="H24" s="13"/>
      <c r="I24" s="25" t="s">
        <v>8</v>
      </c>
      <c r="J24" s="14"/>
      <c r="K24" s="28">
        <v>1.35E-2</v>
      </c>
      <c r="L24" s="30" t="s">
        <v>8</v>
      </c>
      <c r="M24" s="73">
        <v>13</v>
      </c>
      <c r="N24" s="73" t="s">
        <v>814</v>
      </c>
      <c r="O24" s="75">
        <v>1.4146650000000001</v>
      </c>
    </row>
    <row r="25" spans="1:15" x14ac:dyDescent="0.15">
      <c r="A25" s="12"/>
      <c r="B25" s="25">
        <v>100</v>
      </c>
      <c r="C25" s="25" t="s">
        <v>531</v>
      </c>
      <c r="D25" s="13"/>
      <c r="E25" s="13"/>
      <c r="F25" s="13"/>
      <c r="G25" s="13"/>
      <c r="H25" s="13"/>
      <c r="I25" s="25" t="s">
        <v>8</v>
      </c>
      <c r="J25" s="14"/>
      <c r="K25" s="28">
        <v>7.0400000000000003E-3</v>
      </c>
      <c r="L25" s="30" t="s">
        <v>8</v>
      </c>
      <c r="M25" s="73">
        <v>14</v>
      </c>
      <c r="N25" s="73" t="s">
        <v>815</v>
      </c>
      <c r="O25" s="75">
        <v>7.3772160000000007E-3</v>
      </c>
    </row>
    <row r="26" spans="1:15" x14ac:dyDescent="0.15">
      <c r="A26" s="12"/>
      <c r="B26" s="25">
        <v>1</v>
      </c>
      <c r="C26" s="25" t="s">
        <v>532</v>
      </c>
      <c r="D26" s="13"/>
      <c r="E26" s="13"/>
      <c r="F26" s="13"/>
      <c r="G26" s="13"/>
      <c r="H26" s="13"/>
      <c r="I26" s="25" t="s">
        <v>8</v>
      </c>
      <c r="J26" s="14"/>
      <c r="K26" s="28">
        <v>0.72799999999999998</v>
      </c>
      <c r="L26" s="30" t="s">
        <v>8</v>
      </c>
      <c r="M26" s="73">
        <v>15</v>
      </c>
      <c r="N26" s="73" t="s">
        <v>369</v>
      </c>
      <c r="O26" s="75">
        <v>76.287120000000002</v>
      </c>
    </row>
    <row r="27" spans="1:15" x14ac:dyDescent="0.15">
      <c r="A27" s="12"/>
      <c r="B27" s="25">
        <v>1</v>
      </c>
      <c r="C27" s="25" t="s">
        <v>533</v>
      </c>
      <c r="D27" s="13"/>
      <c r="E27" s="13"/>
      <c r="F27" s="13"/>
      <c r="G27" s="32"/>
      <c r="H27" s="13"/>
      <c r="I27" s="25" t="s">
        <v>8</v>
      </c>
      <c r="J27" s="14"/>
      <c r="K27" s="28" t="s">
        <v>534</v>
      </c>
      <c r="L27" s="30" t="s">
        <v>8</v>
      </c>
      <c r="M27" s="73">
        <v>16</v>
      </c>
      <c r="N27" s="73" t="s">
        <v>816</v>
      </c>
      <c r="O27" s="75">
        <v>272.45400000000001</v>
      </c>
    </row>
    <row r="28" spans="1:15" x14ac:dyDescent="0.15">
      <c r="A28" s="12"/>
      <c r="B28" s="25">
        <v>1</v>
      </c>
      <c r="C28" s="25" t="s">
        <v>535</v>
      </c>
      <c r="D28" s="13"/>
      <c r="E28" s="13"/>
      <c r="F28" s="13"/>
      <c r="G28" s="13"/>
      <c r="H28" s="13"/>
      <c r="I28" s="25" t="s">
        <v>8</v>
      </c>
      <c r="J28" s="14"/>
      <c r="K28" s="28">
        <v>0.27100000000000002</v>
      </c>
      <c r="L28" s="30" t="s">
        <v>8</v>
      </c>
      <c r="M28" s="73">
        <v>17</v>
      </c>
      <c r="N28" s="73" t="s">
        <v>817</v>
      </c>
      <c r="O28" s="75">
        <v>28.398090000000003</v>
      </c>
    </row>
    <row r="29" spans="1:15" x14ac:dyDescent="0.15">
      <c r="A29" s="12"/>
      <c r="B29" s="25">
        <v>100</v>
      </c>
      <c r="C29" s="25" t="s">
        <v>536</v>
      </c>
      <c r="D29" s="13"/>
      <c r="E29" s="13"/>
      <c r="F29" s="13"/>
      <c r="G29" s="13"/>
      <c r="H29" s="13"/>
      <c r="I29" s="25" t="s">
        <v>8</v>
      </c>
      <c r="J29" s="14"/>
      <c r="K29" s="28">
        <v>8.9700000000000002E-2</v>
      </c>
      <c r="L29" s="30" t="s">
        <v>8</v>
      </c>
      <c r="M29" s="73">
        <v>18</v>
      </c>
      <c r="N29" s="73" t="s">
        <v>818</v>
      </c>
      <c r="O29" s="75">
        <v>9.3996630000000012E-2</v>
      </c>
    </row>
    <row r="30" spans="1:15" x14ac:dyDescent="0.15">
      <c r="A30" s="12"/>
      <c r="B30" s="25">
        <v>100</v>
      </c>
      <c r="C30" s="25" t="s">
        <v>537</v>
      </c>
      <c r="D30" s="13"/>
      <c r="E30" s="13"/>
      <c r="F30" s="13"/>
      <c r="G30" s="13"/>
      <c r="H30" s="13"/>
      <c r="I30" s="25" t="s">
        <v>8</v>
      </c>
      <c r="J30" s="14"/>
      <c r="K30" s="28">
        <v>2.46E-2</v>
      </c>
      <c r="L30" s="30" t="s">
        <v>8</v>
      </c>
      <c r="M30" s="73">
        <v>19</v>
      </c>
      <c r="N30" s="73" t="s">
        <v>819</v>
      </c>
      <c r="O30" s="75">
        <v>2.5778340000000004E-2</v>
      </c>
    </row>
    <row r="31" spans="1:15" x14ac:dyDescent="0.15">
      <c r="A31" s="12"/>
      <c r="B31" s="25">
        <v>1</v>
      </c>
      <c r="C31" s="25" t="s">
        <v>538</v>
      </c>
      <c r="D31" s="13"/>
      <c r="E31" s="13"/>
      <c r="F31" s="13"/>
      <c r="G31" s="13"/>
      <c r="H31" s="13"/>
      <c r="I31" s="25" t="s">
        <v>8</v>
      </c>
      <c r="J31" s="14"/>
      <c r="K31" s="28">
        <v>3.27</v>
      </c>
      <c r="L31" s="30" t="s">
        <v>8</v>
      </c>
      <c r="M31" s="73">
        <v>20</v>
      </c>
      <c r="N31" s="73" t="s">
        <v>820</v>
      </c>
      <c r="O31" s="75">
        <v>342.66330000000005</v>
      </c>
    </row>
    <row r="32" spans="1:15" x14ac:dyDescent="0.15">
      <c r="A32" s="12"/>
      <c r="B32" s="25">
        <v>1</v>
      </c>
      <c r="C32" s="25" t="s">
        <v>539</v>
      </c>
      <c r="D32" s="13"/>
      <c r="E32" s="13"/>
      <c r="F32" s="13"/>
      <c r="G32" s="13"/>
      <c r="H32" s="13"/>
      <c r="I32" s="25" t="s">
        <v>8</v>
      </c>
      <c r="J32" s="14"/>
      <c r="K32" s="28">
        <v>9.1500000000000001E-3</v>
      </c>
      <c r="L32" s="30" t="s">
        <v>8</v>
      </c>
      <c r="M32" s="73">
        <v>21</v>
      </c>
      <c r="N32" s="73" t="s">
        <v>821</v>
      </c>
      <c r="O32" s="75">
        <v>0.95882850000000008</v>
      </c>
    </row>
    <row r="33" spans="1:15" x14ac:dyDescent="0.15">
      <c r="A33" s="12"/>
      <c r="B33" s="25">
        <v>100</v>
      </c>
      <c r="C33" s="25" t="s">
        <v>540</v>
      </c>
      <c r="D33" s="13"/>
      <c r="E33" s="13"/>
      <c r="F33" s="13"/>
      <c r="G33" s="13"/>
      <c r="H33" s="13"/>
      <c r="I33" s="25" t="s">
        <v>8</v>
      </c>
      <c r="J33" s="14"/>
      <c r="K33" s="28">
        <v>2.7199999999999998E-2</v>
      </c>
      <c r="L33" s="30" t="s">
        <v>8</v>
      </c>
      <c r="M33" s="73">
        <v>22</v>
      </c>
      <c r="N33" s="73" t="s">
        <v>822</v>
      </c>
      <c r="O33" s="75">
        <v>2.8502880000000001E-2</v>
      </c>
    </row>
    <row r="34" spans="1:15" x14ac:dyDescent="0.15">
      <c r="A34" s="12"/>
      <c r="B34" s="25">
        <v>1</v>
      </c>
      <c r="C34" s="25" t="s">
        <v>541</v>
      </c>
      <c r="D34" s="13"/>
      <c r="E34" s="13"/>
      <c r="F34" s="13"/>
      <c r="G34" s="13"/>
      <c r="H34" s="13"/>
      <c r="I34" s="25" t="s">
        <v>8</v>
      </c>
      <c r="J34" s="14"/>
      <c r="K34" s="28">
        <v>0.26700000000000002</v>
      </c>
      <c r="L34" s="30" t="s">
        <v>8</v>
      </c>
      <c r="M34" s="73">
        <v>23</v>
      </c>
      <c r="N34" s="73" t="s">
        <v>823</v>
      </c>
      <c r="O34" s="75">
        <v>27.978930000000002</v>
      </c>
    </row>
    <row r="35" spans="1:15" x14ac:dyDescent="0.15">
      <c r="A35" s="12"/>
      <c r="B35" s="25">
        <v>1</v>
      </c>
      <c r="C35" s="25" t="s">
        <v>542</v>
      </c>
      <c r="D35" s="13"/>
      <c r="E35" s="13"/>
      <c r="F35" s="13"/>
      <c r="G35" s="13"/>
      <c r="H35" s="13"/>
      <c r="I35" s="25" t="s">
        <v>8</v>
      </c>
      <c r="J35" s="14"/>
      <c r="K35" s="28">
        <v>0.74199999999999999</v>
      </c>
      <c r="L35" s="30" t="s">
        <v>8</v>
      </c>
      <c r="M35" s="73">
        <v>24</v>
      </c>
      <c r="N35" s="73" t="s">
        <v>824</v>
      </c>
      <c r="O35" s="75">
        <v>77.754180000000005</v>
      </c>
    </row>
    <row r="36" spans="1:15" x14ac:dyDescent="0.15">
      <c r="A36" s="12"/>
      <c r="B36" s="25">
        <v>100</v>
      </c>
      <c r="C36" s="25" t="s">
        <v>543</v>
      </c>
      <c r="D36" s="13"/>
      <c r="E36" s="13"/>
      <c r="F36" s="13"/>
      <c r="G36" s="13"/>
      <c r="H36" s="13"/>
      <c r="I36" s="25" t="s">
        <v>8</v>
      </c>
      <c r="J36" s="14"/>
      <c r="K36" s="28" t="s">
        <v>825</v>
      </c>
      <c r="L36" s="30" t="s">
        <v>8</v>
      </c>
      <c r="M36" s="73">
        <v>25</v>
      </c>
      <c r="N36" s="73" t="s">
        <v>826</v>
      </c>
      <c r="O36" s="75">
        <v>3.6676500000000005</v>
      </c>
    </row>
    <row r="37" spans="1:15" x14ac:dyDescent="0.15">
      <c r="A37" s="12"/>
      <c r="B37" s="25">
        <v>100</v>
      </c>
      <c r="C37" s="25" t="s">
        <v>544</v>
      </c>
      <c r="D37" s="13"/>
      <c r="E37" s="13"/>
      <c r="F37" s="13"/>
      <c r="G37" s="13"/>
      <c r="H37" s="13"/>
      <c r="I37" s="25" t="s">
        <v>8</v>
      </c>
      <c r="J37" s="14"/>
      <c r="K37" s="28">
        <v>0.54100000000000004</v>
      </c>
      <c r="L37" s="30" t="s">
        <v>8</v>
      </c>
      <c r="M37" s="73">
        <v>26</v>
      </c>
      <c r="N37" s="73" t="s">
        <v>827</v>
      </c>
      <c r="O37" s="75">
        <v>0.56691390000000008</v>
      </c>
    </row>
    <row r="38" spans="1:15" x14ac:dyDescent="0.15">
      <c r="A38" s="12"/>
      <c r="B38" s="25">
        <v>1</v>
      </c>
      <c r="C38" s="25" t="s">
        <v>545</v>
      </c>
      <c r="D38" s="13"/>
      <c r="E38" s="13"/>
      <c r="F38" s="13"/>
      <c r="G38" s="13"/>
      <c r="H38" s="13"/>
      <c r="I38" s="25" t="s">
        <v>8</v>
      </c>
      <c r="J38" s="14"/>
      <c r="K38" s="28">
        <v>4.9099999999999998E-2</v>
      </c>
      <c r="L38" s="30" t="s">
        <v>8</v>
      </c>
      <c r="M38" s="73">
        <v>27</v>
      </c>
      <c r="N38" s="73" t="s">
        <v>828</v>
      </c>
      <c r="O38" s="75">
        <v>5.1451890000000002</v>
      </c>
    </row>
    <row r="39" spans="1:15" x14ac:dyDescent="0.15">
      <c r="A39" s="12"/>
      <c r="B39" s="25">
        <v>100</v>
      </c>
      <c r="C39" s="25" t="s">
        <v>546</v>
      </c>
      <c r="D39" s="13"/>
      <c r="E39" s="13"/>
      <c r="F39" s="13"/>
      <c r="G39" s="13"/>
      <c r="H39" s="13"/>
      <c r="I39" s="25" t="s">
        <v>8</v>
      </c>
      <c r="J39" s="14"/>
      <c r="K39" s="28">
        <v>3.28</v>
      </c>
      <c r="L39" s="30" t="s">
        <v>8</v>
      </c>
      <c r="M39" s="73">
        <v>28</v>
      </c>
      <c r="N39" s="73" t="s">
        <v>829</v>
      </c>
      <c r="O39" s="75">
        <v>3.4371119999999999</v>
      </c>
    </row>
    <row r="40" spans="1:15" x14ac:dyDescent="0.15">
      <c r="A40" s="12"/>
      <c r="B40" s="25">
        <v>100</v>
      </c>
      <c r="C40" s="25" t="s">
        <v>547</v>
      </c>
      <c r="D40" s="13"/>
      <c r="E40" s="13"/>
      <c r="F40" s="13"/>
      <c r="G40" s="13"/>
      <c r="H40" s="13"/>
      <c r="I40" s="25" t="s">
        <v>8</v>
      </c>
      <c r="J40" s="14"/>
      <c r="K40" s="28" t="s">
        <v>830</v>
      </c>
      <c r="L40" s="30" t="s">
        <v>8</v>
      </c>
      <c r="M40" s="73">
        <v>29</v>
      </c>
      <c r="N40" s="73" t="s">
        <v>831</v>
      </c>
      <c r="O40" s="75">
        <v>1.0374209999999999</v>
      </c>
    </row>
    <row r="41" spans="1:15" x14ac:dyDescent="0.15">
      <c r="A41" s="12"/>
      <c r="B41" s="25">
        <v>1</v>
      </c>
      <c r="C41" s="25" t="s">
        <v>548</v>
      </c>
      <c r="D41" s="13"/>
      <c r="E41" s="13"/>
      <c r="F41" s="13"/>
      <c r="G41" s="13"/>
      <c r="H41" s="13"/>
      <c r="I41" s="25" t="s">
        <v>8</v>
      </c>
      <c r="J41" s="14"/>
      <c r="K41" s="28">
        <v>4.4699999999999997E-2</v>
      </c>
      <c r="L41" s="30" t="s">
        <v>8</v>
      </c>
      <c r="M41" s="73">
        <v>30</v>
      </c>
      <c r="N41" s="73" t="s">
        <v>832</v>
      </c>
      <c r="O41" s="75">
        <v>4.684113</v>
      </c>
    </row>
    <row r="42" spans="1:15" x14ac:dyDescent="0.15">
      <c r="A42" s="12"/>
      <c r="B42" s="25">
        <v>100</v>
      </c>
      <c r="C42" s="25" t="s">
        <v>549</v>
      </c>
      <c r="D42" s="13"/>
      <c r="E42" s="13"/>
      <c r="F42" s="13"/>
      <c r="G42" s="13"/>
      <c r="H42" s="13"/>
      <c r="I42" s="25" t="s">
        <v>8</v>
      </c>
      <c r="J42" s="14"/>
      <c r="K42" s="28">
        <v>0.13100000000000001</v>
      </c>
      <c r="L42" s="30" t="s">
        <v>8</v>
      </c>
      <c r="M42" s="73">
        <v>31</v>
      </c>
      <c r="N42" s="73" t="s">
        <v>833</v>
      </c>
      <c r="O42" s="75">
        <v>0.13727490000000001</v>
      </c>
    </row>
    <row r="43" spans="1:15" x14ac:dyDescent="0.15">
      <c r="A43" s="12"/>
      <c r="B43" s="25">
        <v>1</v>
      </c>
      <c r="C43" s="25" t="s">
        <v>550</v>
      </c>
      <c r="D43" s="13"/>
      <c r="E43" s="13"/>
      <c r="F43" s="13"/>
      <c r="G43" s="13"/>
      <c r="H43" s="13"/>
      <c r="I43" s="25" t="s">
        <v>8</v>
      </c>
      <c r="J43" s="14"/>
      <c r="K43" s="28">
        <v>0.159</v>
      </c>
      <c r="L43" s="30" t="s">
        <v>8</v>
      </c>
      <c r="M43" s="73">
        <v>32</v>
      </c>
      <c r="N43" s="73" t="s">
        <v>834</v>
      </c>
      <c r="O43" s="75">
        <v>16.66161</v>
      </c>
    </row>
    <row r="44" spans="1:15" x14ac:dyDescent="0.15">
      <c r="A44" s="12"/>
      <c r="B44" s="25">
        <v>1</v>
      </c>
      <c r="C44" s="25" t="s">
        <v>551</v>
      </c>
      <c r="D44" s="13"/>
      <c r="E44" s="13"/>
      <c r="F44" s="13"/>
      <c r="G44" s="13"/>
      <c r="H44" s="13"/>
      <c r="I44" s="25" t="s">
        <v>8</v>
      </c>
      <c r="J44" s="14"/>
      <c r="K44" s="28">
        <v>0.14799999999999999</v>
      </c>
      <c r="L44" s="30" t="s">
        <v>8</v>
      </c>
      <c r="M44" s="73">
        <v>33</v>
      </c>
      <c r="N44" s="73" t="s">
        <v>835</v>
      </c>
      <c r="O44" s="75">
        <v>15.50892</v>
      </c>
    </row>
    <row r="45" spans="1:15" x14ac:dyDescent="0.15">
      <c r="A45" s="12"/>
      <c r="B45" s="25">
        <v>1</v>
      </c>
      <c r="C45" s="25" t="s">
        <v>552</v>
      </c>
      <c r="D45" s="13"/>
      <c r="E45" s="13"/>
      <c r="F45" s="13"/>
      <c r="G45" s="13"/>
      <c r="H45" s="13"/>
      <c r="I45" s="25" t="s">
        <v>8</v>
      </c>
      <c r="J45" s="14"/>
      <c r="K45" s="28">
        <v>0.126</v>
      </c>
      <c r="L45" s="30" t="s">
        <v>8</v>
      </c>
      <c r="M45" s="73">
        <v>34</v>
      </c>
      <c r="N45" s="73" t="s">
        <v>836</v>
      </c>
      <c r="O45" s="75">
        <v>13.20354</v>
      </c>
    </row>
    <row r="46" spans="1:15" x14ac:dyDescent="0.15">
      <c r="A46" s="12"/>
      <c r="B46" s="25">
        <v>1</v>
      </c>
      <c r="C46" s="25" t="s">
        <v>553</v>
      </c>
      <c r="D46" s="13"/>
      <c r="E46" s="13"/>
      <c r="F46" s="13"/>
      <c r="G46" s="13"/>
      <c r="H46" s="13"/>
      <c r="I46" s="25" t="s">
        <v>8</v>
      </c>
      <c r="J46" s="14"/>
      <c r="K46" s="28" t="s">
        <v>837</v>
      </c>
      <c r="L46" s="30" t="s">
        <v>8</v>
      </c>
      <c r="M46" s="73">
        <v>35</v>
      </c>
      <c r="N46" s="73" t="s">
        <v>838</v>
      </c>
      <c r="O46" s="75">
        <v>0.27245400000000003</v>
      </c>
    </row>
    <row r="47" spans="1:15" x14ac:dyDescent="0.15">
      <c r="A47" s="12"/>
      <c r="B47" s="25">
        <v>1</v>
      </c>
      <c r="C47" s="25" t="s">
        <v>554</v>
      </c>
      <c r="D47" s="13"/>
      <c r="E47" s="13"/>
      <c r="F47" s="13"/>
      <c r="G47" s="13"/>
      <c r="H47" s="13"/>
      <c r="I47" s="25" t="s">
        <v>8</v>
      </c>
      <c r="J47" s="14"/>
      <c r="K47" s="28">
        <v>0.68700000000000006</v>
      </c>
      <c r="L47" s="30" t="s">
        <v>8</v>
      </c>
      <c r="M47" s="73">
        <v>36</v>
      </c>
      <c r="N47" s="73" t="s">
        <v>839</v>
      </c>
      <c r="O47" s="75">
        <v>71.990730000000013</v>
      </c>
    </row>
    <row r="48" spans="1:15" x14ac:dyDescent="0.15">
      <c r="A48" s="12"/>
      <c r="B48" s="25">
        <v>1</v>
      </c>
      <c r="C48" s="25" t="s">
        <v>555</v>
      </c>
      <c r="D48" s="13"/>
      <c r="E48" s="13"/>
      <c r="F48" s="13"/>
      <c r="G48" s="13"/>
      <c r="H48" s="13"/>
      <c r="I48" s="25" t="s">
        <v>8</v>
      </c>
      <c r="J48" s="14"/>
      <c r="K48" s="28" t="s">
        <v>840</v>
      </c>
      <c r="L48" s="30" t="s">
        <v>8</v>
      </c>
      <c r="M48" s="73">
        <v>37</v>
      </c>
      <c r="N48" s="73" t="s">
        <v>841</v>
      </c>
      <c r="O48" s="75">
        <v>11.526900000000001</v>
      </c>
    </row>
    <row r="49" spans="1:15" x14ac:dyDescent="0.15">
      <c r="A49" s="12"/>
      <c r="B49" s="25">
        <v>1</v>
      </c>
      <c r="C49" s="25" t="s">
        <v>556</v>
      </c>
      <c r="D49" s="13"/>
      <c r="E49" s="13"/>
      <c r="F49" s="13"/>
      <c r="G49" s="13"/>
      <c r="H49" s="13"/>
      <c r="I49" s="25" t="s">
        <v>8</v>
      </c>
      <c r="J49" s="14"/>
      <c r="K49" s="28">
        <v>6.2700000000000004E-3</v>
      </c>
      <c r="L49" s="30" t="s">
        <v>8</v>
      </c>
      <c r="M49" s="73">
        <v>38</v>
      </c>
      <c r="N49" s="73" t="s">
        <v>842</v>
      </c>
      <c r="O49" s="75">
        <v>0.65703330000000004</v>
      </c>
    </row>
    <row r="50" spans="1:15" x14ac:dyDescent="0.15">
      <c r="A50" s="12"/>
      <c r="B50" s="25">
        <v>100</v>
      </c>
      <c r="C50" s="25" t="s">
        <v>557</v>
      </c>
      <c r="D50" s="13"/>
      <c r="E50" s="13"/>
      <c r="F50" s="13"/>
      <c r="G50" s="13"/>
      <c r="H50" s="13"/>
      <c r="I50" s="25" t="s">
        <v>8</v>
      </c>
      <c r="J50" s="14"/>
      <c r="K50" s="28">
        <v>0.89600000000000002</v>
      </c>
      <c r="L50" s="30" t="s">
        <v>8</v>
      </c>
      <c r="M50" s="73">
        <v>39</v>
      </c>
      <c r="N50" s="73" t="s">
        <v>843</v>
      </c>
      <c r="O50" s="75">
        <v>0.93891840000000015</v>
      </c>
    </row>
    <row r="51" spans="1:15" x14ac:dyDescent="0.15">
      <c r="A51" s="12"/>
      <c r="B51" s="25">
        <v>1</v>
      </c>
      <c r="C51" s="25" t="s">
        <v>558</v>
      </c>
      <c r="D51" s="13"/>
      <c r="E51" s="13"/>
      <c r="F51" s="13"/>
      <c r="G51" s="13"/>
      <c r="H51" s="13"/>
      <c r="I51" s="25" t="s">
        <v>8</v>
      </c>
      <c r="J51" s="14"/>
      <c r="K51" s="28">
        <v>0.28499999999999998</v>
      </c>
      <c r="L51" s="30" t="s">
        <v>8</v>
      </c>
      <c r="M51" s="73">
        <v>40</v>
      </c>
      <c r="N51" s="73" t="s">
        <v>844</v>
      </c>
      <c r="O51" s="75">
        <v>29.86515</v>
      </c>
    </row>
    <row r="52" spans="1:15" x14ac:dyDescent="0.15">
      <c r="A52" s="12"/>
      <c r="B52" s="25">
        <v>1</v>
      </c>
      <c r="C52" s="25" t="s">
        <v>559</v>
      </c>
      <c r="D52" s="13"/>
      <c r="E52" s="13"/>
      <c r="F52" s="13"/>
      <c r="G52" s="13"/>
      <c r="H52" s="13"/>
      <c r="I52" s="25" t="s">
        <v>8</v>
      </c>
      <c r="J52" s="14"/>
      <c r="K52" s="28">
        <v>2.65</v>
      </c>
      <c r="L52" s="30" t="s">
        <v>8</v>
      </c>
      <c r="M52" s="73">
        <v>41</v>
      </c>
      <c r="N52" s="73" t="s">
        <v>845</v>
      </c>
      <c r="O52" s="75">
        <v>277.69350000000003</v>
      </c>
    </row>
    <row r="53" spans="1:15" x14ac:dyDescent="0.15">
      <c r="A53" s="12"/>
      <c r="B53" s="25">
        <v>100</v>
      </c>
      <c r="C53" s="25" t="s">
        <v>560</v>
      </c>
      <c r="D53" s="13"/>
      <c r="E53" s="13"/>
      <c r="F53" s="13"/>
      <c r="G53" s="13"/>
      <c r="H53" s="13"/>
      <c r="I53" s="25" t="s">
        <v>8</v>
      </c>
      <c r="J53" s="14"/>
      <c r="K53" s="28">
        <v>0.32900000000000001</v>
      </c>
      <c r="L53" s="30" t="s">
        <v>8</v>
      </c>
      <c r="M53" s="73">
        <v>42</v>
      </c>
      <c r="N53" s="73" t="s">
        <v>846</v>
      </c>
      <c r="O53" s="75">
        <v>0.34475910000000004</v>
      </c>
    </row>
    <row r="54" spans="1:15" x14ac:dyDescent="0.15">
      <c r="A54" s="12"/>
      <c r="B54" s="25">
        <v>100</v>
      </c>
      <c r="C54" s="25" t="s">
        <v>561</v>
      </c>
      <c r="D54" s="13"/>
      <c r="E54" s="13"/>
      <c r="F54" s="13"/>
      <c r="G54" s="13"/>
      <c r="H54" s="13"/>
      <c r="I54" s="25" t="s">
        <v>8</v>
      </c>
      <c r="J54" s="14"/>
      <c r="K54" s="28">
        <v>1.18</v>
      </c>
      <c r="L54" s="30" t="s">
        <v>8</v>
      </c>
      <c r="M54" s="73">
        <v>43</v>
      </c>
      <c r="N54" s="73" t="s">
        <v>847</v>
      </c>
      <c r="O54" s="75">
        <v>1.2365220000000001</v>
      </c>
    </row>
    <row r="55" spans="1:15" x14ac:dyDescent="0.15">
      <c r="A55" s="12"/>
      <c r="B55" s="25">
        <v>1</v>
      </c>
      <c r="C55" s="25" t="s">
        <v>562</v>
      </c>
      <c r="D55" s="13"/>
      <c r="E55" s="13"/>
      <c r="F55" s="13"/>
      <c r="G55" s="13"/>
      <c r="H55" s="13"/>
      <c r="I55" s="25" t="s">
        <v>8</v>
      </c>
      <c r="J55" s="14"/>
      <c r="K55" s="28">
        <v>0.47699999999999998</v>
      </c>
      <c r="L55" s="30" t="s">
        <v>8</v>
      </c>
      <c r="M55" s="73">
        <v>44</v>
      </c>
      <c r="N55" s="73" t="s">
        <v>848</v>
      </c>
      <c r="O55" s="75">
        <v>49.984830000000002</v>
      </c>
    </row>
    <row r="56" spans="1:15" x14ac:dyDescent="0.15">
      <c r="A56" s="12"/>
      <c r="B56" s="25">
        <v>1</v>
      </c>
      <c r="C56" s="25" t="s">
        <v>563</v>
      </c>
      <c r="D56" s="13"/>
      <c r="E56" s="13"/>
      <c r="F56" s="13"/>
      <c r="G56" s="13"/>
      <c r="H56" s="13"/>
      <c r="I56" s="25" t="s">
        <v>8</v>
      </c>
      <c r="J56" s="13"/>
      <c r="K56" s="28">
        <v>2.07E-2</v>
      </c>
      <c r="L56" s="30" t="s">
        <v>8</v>
      </c>
      <c r="M56" s="73">
        <v>45</v>
      </c>
      <c r="N56" s="73" t="s">
        <v>849</v>
      </c>
      <c r="O56" s="75">
        <v>2.1691530000000001</v>
      </c>
    </row>
    <row r="57" spans="1:15" x14ac:dyDescent="0.15">
      <c r="A57" s="12"/>
      <c r="B57" s="25">
        <v>1</v>
      </c>
      <c r="C57" s="25" t="s">
        <v>564</v>
      </c>
      <c r="D57" s="13"/>
      <c r="E57" s="13"/>
      <c r="F57" s="13"/>
      <c r="G57" s="13"/>
      <c r="H57" s="13"/>
      <c r="I57" s="25" t="s">
        <v>8</v>
      </c>
      <c r="J57" s="14"/>
      <c r="K57" s="28">
        <v>0.184</v>
      </c>
      <c r="L57" s="30" t="s">
        <v>8</v>
      </c>
      <c r="M57" s="73">
        <v>46</v>
      </c>
      <c r="N57" s="73" t="s">
        <v>850</v>
      </c>
      <c r="O57" s="75">
        <v>19.281359999999999</v>
      </c>
    </row>
    <row r="58" spans="1:15" x14ac:dyDescent="0.15">
      <c r="A58" s="12"/>
      <c r="B58" s="25">
        <v>1</v>
      </c>
      <c r="C58" s="25" t="s">
        <v>565</v>
      </c>
      <c r="D58" s="13"/>
      <c r="E58" s="13"/>
      <c r="F58" s="13"/>
      <c r="G58" s="13"/>
      <c r="H58" s="13"/>
      <c r="I58" s="25" t="s">
        <v>8</v>
      </c>
      <c r="J58" s="14"/>
      <c r="K58" s="28">
        <v>0.74199999999999999</v>
      </c>
      <c r="L58" s="30" t="s">
        <v>8</v>
      </c>
      <c r="M58" s="73">
        <v>47</v>
      </c>
      <c r="N58" s="73" t="s">
        <v>851</v>
      </c>
      <c r="O58" s="75">
        <v>77.754180000000005</v>
      </c>
    </row>
    <row r="59" spans="1:15" x14ac:dyDescent="0.15">
      <c r="A59" s="12"/>
      <c r="B59" s="25">
        <v>100</v>
      </c>
      <c r="C59" s="25" t="s">
        <v>566</v>
      </c>
      <c r="D59" s="13"/>
      <c r="E59" s="13"/>
      <c r="F59" s="13"/>
      <c r="G59" s="13"/>
      <c r="H59" s="13"/>
      <c r="I59" s="25" t="s">
        <v>8</v>
      </c>
      <c r="J59" s="14"/>
      <c r="K59" s="28">
        <v>4.3200000000000001E-3</v>
      </c>
      <c r="L59" s="30" t="s">
        <v>8</v>
      </c>
      <c r="M59" s="73">
        <v>48</v>
      </c>
      <c r="N59" s="73" t="s">
        <v>852</v>
      </c>
      <c r="O59" s="75">
        <v>4.5269280000000004E-3</v>
      </c>
    </row>
    <row r="60" spans="1:15" x14ac:dyDescent="0.15">
      <c r="A60" s="12"/>
      <c r="B60" s="25">
        <v>1</v>
      </c>
      <c r="C60" s="25" t="s">
        <v>567</v>
      </c>
      <c r="D60" s="13"/>
      <c r="E60" s="13"/>
      <c r="F60" s="13"/>
      <c r="G60" s="13"/>
      <c r="H60" s="13"/>
      <c r="I60" s="25" t="s">
        <v>8</v>
      </c>
      <c r="J60" s="14"/>
      <c r="K60" s="28">
        <v>1.48E-6</v>
      </c>
      <c r="L60" s="30" t="s">
        <v>8</v>
      </c>
      <c r="M60" s="73">
        <v>49</v>
      </c>
      <c r="N60" s="73" t="s">
        <v>853</v>
      </c>
      <c r="O60" s="75">
        <v>1.5508920000000001E-4</v>
      </c>
    </row>
    <row r="61" spans="1:15" x14ac:dyDescent="0.15">
      <c r="A61" s="12"/>
      <c r="B61" s="25">
        <v>1</v>
      </c>
      <c r="C61" s="25" t="s">
        <v>568</v>
      </c>
      <c r="D61" s="13"/>
      <c r="E61" s="13"/>
      <c r="F61" s="13"/>
      <c r="G61" s="13"/>
      <c r="H61" s="13"/>
      <c r="I61" s="25" t="s">
        <v>8</v>
      </c>
      <c r="J61" s="14"/>
      <c r="K61" s="28">
        <v>0.27700000000000002</v>
      </c>
      <c r="L61" s="30" t="s">
        <v>8</v>
      </c>
      <c r="M61" s="73">
        <v>50</v>
      </c>
      <c r="N61" s="73" t="s">
        <v>854</v>
      </c>
      <c r="O61" s="75">
        <v>29.026830000000004</v>
      </c>
    </row>
    <row r="62" spans="1:15" x14ac:dyDescent="0.15">
      <c r="A62" s="12"/>
      <c r="B62" s="25">
        <v>1</v>
      </c>
      <c r="C62" s="25" t="s">
        <v>569</v>
      </c>
      <c r="D62" s="13"/>
      <c r="E62" s="13"/>
      <c r="F62" s="13"/>
      <c r="G62" s="13"/>
      <c r="H62" s="13"/>
      <c r="I62" s="25" t="s">
        <v>8</v>
      </c>
      <c r="J62" s="14"/>
      <c r="K62" s="28">
        <v>0.26300000000000001</v>
      </c>
      <c r="L62" s="30" t="s">
        <v>8</v>
      </c>
      <c r="M62" s="73">
        <v>51</v>
      </c>
      <c r="N62" s="73" t="s">
        <v>855</v>
      </c>
      <c r="O62" s="75">
        <v>27.559770000000004</v>
      </c>
    </row>
    <row r="63" spans="1:15" x14ac:dyDescent="0.15">
      <c r="A63" s="12"/>
      <c r="B63" s="25">
        <v>1</v>
      </c>
      <c r="C63" s="25" t="s">
        <v>570</v>
      </c>
      <c r="D63" s="13"/>
      <c r="E63" s="13"/>
      <c r="F63" s="13"/>
      <c r="G63" s="13"/>
      <c r="H63" s="13"/>
      <c r="I63" s="25" t="s">
        <v>8</v>
      </c>
      <c r="J63" s="14"/>
      <c r="K63" s="28">
        <v>0.129</v>
      </c>
      <c r="L63" s="30" t="s">
        <v>8</v>
      </c>
      <c r="M63" s="73">
        <v>52</v>
      </c>
      <c r="N63" s="73" t="s">
        <v>856</v>
      </c>
      <c r="O63" s="75">
        <v>13.517910000000001</v>
      </c>
    </row>
    <row r="64" spans="1:15" x14ac:dyDescent="0.15">
      <c r="A64" s="12"/>
      <c r="B64" s="25">
        <v>1</v>
      </c>
      <c r="C64" s="25" t="s">
        <v>571</v>
      </c>
      <c r="D64" s="13"/>
      <c r="E64" s="13"/>
      <c r="F64" s="13"/>
      <c r="G64" s="13"/>
      <c r="H64" s="13"/>
      <c r="I64" s="25" t="s">
        <v>8</v>
      </c>
      <c r="J64" s="14"/>
      <c r="K64" s="28">
        <v>0.24299999999999999</v>
      </c>
      <c r="L64" s="30" t="s">
        <v>8</v>
      </c>
      <c r="M64" s="73">
        <v>53</v>
      </c>
      <c r="N64" s="73" t="s">
        <v>857</v>
      </c>
      <c r="O64" s="75">
        <v>25.46397</v>
      </c>
    </row>
    <row r="65" spans="1:15" x14ac:dyDescent="0.15">
      <c r="A65" s="12"/>
      <c r="B65" s="25">
        <v>1</v>
      </c>
      <c r="C65" s="25" t="s">
        <v>572</v>
      </c>
      <c r="D65" s="13"/>
      <c r="E65" s="13"/>
      <c r="F65" s="13"/>
      <c r="G65" s="13"/>
      <c r="H65" s="13"/>
      <c r="I65" s="25" t="s">
        <v>8</v>
      </c>
      <c r="J65" s="14"/>
      <c r="K65" s="28">
        <v>6.4399999999999999E-2</v>
      </c>
      <c r="L65" s="30" t="s">
        <v>8</v>
      </c>
      <c r="M65" s="73">
        <v>54</v>
      </c>
      <c r="N65" s="73" t="s">
        <v>858</v>
      </c>
      <c r="O65" s="75">
        <v>6.7484760000000001</v>
      </c>
    </row>
    <row r="66" spans="1:15" x14ac:dyDescent="0.15">
      <c r="A66" s="12"/>
      <c r="B66" s="25">
        <v>1</v>
      </c>
      <c r="C66" s="25" t="s">
        <v>573</v>
      </c>
      <c r="D66" s="13"/>
      <c r="E66" s="13"/>
      <c r="F66" s="13"/>
      <c r="G66" s="13"/>
      <c r="H66" s="13"/>
      <c r="I66" s="25" t="s">
        <v>8</v>
      </c>
      <c r="J66" s="14"/>
      <c r="K66" s="28">
        <v>7.5600000000000005E-4</v>
      </c>
      <c r="L66" s="30" t="s">
        <v>8</v>
      </c>
      <c r="M66" s="73">
        <v>55</v>
      </c>
      <c r="N66" s="73" t="s">
        <v>859</v>
      </c>
      <c r="O66" s="75">
        <v>7.9221240000000012E-2</v>
      </c>
    </row>
    <row r="67" spans="1:15" x14ac:dyDescent="0.15">
      <c r="A67" s="12"/>
      <c r="B67" s="25">
        <v>1</v>
      </c>
      <c r="C67" s="25" t="s">
        <v>574</v>
      </c>
      <c r="D67" s="13"/>
      <c r="E67" s="13"/>
      <c r="F67" s="13"/>
      <c r="G67" s="13"/>
      <c r="H67" s="13"/>
      <c r="I67" s="25" t="s">
        <v>8</v>
      </c>
      <c r="J67" s="14"/>
      <c r="K67" s="28" t="s">
        <v>860</v>
      </c>
      <c r="L67" s="30" t="s">
        <v>8</v>
      </c>
      <c r="M67" s="73">
        <v>56</v>
      </c>
      <c r="N67" s="73" t="s">
        <v>861</v>
      </c>
      <c r="O67" s="75">
        <v>5.1347100000000001</v>
      </c>
    </row>
    <row r="68" spans="1:15" x14ac:dyDescent="0.15">
      <c r="A68" s="12"/>
      <c r="B68" s="25">
        <v>1</v>
      </c>
      <c r="C68" s="25" t="s">
        <v>575</v>
      </c>
      <c r="D68" s="13"/>
      <c r="E68" s="13"/>
      <c r="F68" s="13"/>
      <c r="G68" s="13"/>
      <c r="H68" s="13"/>
      <c r="I68" s="25" t="s">
        <v>8</v>
      </c>
      <c r="J68" s="14"/>
      <c r="K68" s="28" t="s">
        <v>862</v>
      </c>
      <c r="L68" s="30" t="s">
        <v>8</v>
      </c>
      <c r="M68" s="73">
        <v>57</v>
      </c>
      <c r="N68" s="73" t="s">
        <v>863</v>
      </c>
      <c r="O68" s="75">
        <v>2.6197500000000002</v>
      </c>
    </row>
    <row r="69" spans="1:15" x14ac:dyDescent="0.15">
      <c r="A69" s="12"/>
      <c r="B69" s="25">
        <v>1</v>
      </c>
      <c r="C69" s="25" t="s">
        <v>576</v>
      </c>
      <c r="D69" s="13"/>
      <c r="E69" s="13"/>
      <c r="F69" s="13"/>
      <c r="G69" s="13"/>
      <c r="H69" s="13"/>
      <c r="I69" s="25" t="s">
        <v>8</v>
      </c>
      <c r="J69" s="14"/>
      <c r="K69" s="28">
        <v>0.109</v>
      </c>
      <c r="L69" s="30" t="s">
        <v>8</v>
      </c>
      <c r="M69" s="73">
        <v>58</v>
      </c>
      <c r="N69" s="73" t="s">
        <v>864</v>
      </c>
      <c r="O69" s="75">
        <v>11.42211</v>
      </c>
    </row>
    <row r="70" spans="1:15" x14ac:dyDescent="0.15">
      <c r="A70" s="12"/>
      <c r="B70" s="25">
        <v>1</v>
      </c>
      <c r="C70" s="25" t="s">
        <v>577</v>
      </c>
      <c r="D70" s="13"/>
      <c r="E70" s="13"/>
      <c r="F70" s="13"/>
      <c r="G70" s="13"/>
      <c r="H70" s="13"/>
      <c r="I70" s="25" t="s">
        <v>8</v>
      </c>
      <c r="J70" s="14"/>
      <c r="K70" s="28">
        <v>1.41</v>
      </c>
      <c r="L70" s="30" t="s">
        <v>8</v>
      </c>
      <c r="M70" s="73">
        <v>59</v>
      </c>
      <c r="N70" s="73" t="s">
        <v>865</v>
      </c>
      <c r="O70" s="75">
        <v>147.75389999999999</v>
      </c>
    </row>
    <row r="71" spans="1:15" x14ac:dyDescent="0.15">
      <c r="A71" s="12"/>
      <c r="B71" s="25">
        <v>100</v>
      </c>
      <c r="C71" s="25" t="s">
        <v>578</v>
      </c>
      <c r="D71" s="13"/>
      <c r="E71" s="13"/>
      <c r="F71" s="13"/>
      <c r="G71" s="13"/>
      <c r="H71" s="13"/>
      <c r="I71" s="25" t="s">
        <v>8</v>
      </c>
      <c r="J71" s="14"/>
      <c r="K71" s="28">
        <v>1.0800000000000001E-2</v>
      </c>
      <c r="L71" s="30" t="s">
        <v>8</v>
      </c>
      <c r="M71" s="73">
        <v>60</v>
      </c>
      <c r="N71" s="73" t="s">
        <v>866</v>
      </c>
      <c r="O71" s="75">
        <v>1.1317320000000002E-2</v>
      </c>
    </row>
    <row r="72" spans="1:15" x14ac:dyDescent="0.15">
      <c r="A72" s="12"/>
      <c r="B72" s="25">
        <v>1</v>
      </c>
      <c r="C72" s="25" t="s">
        <v>579</v>
      </c>
      <c r="D72" s="13"/>
      <c r="E72" s="13"/>
      <c r="F72" s="13"/>
      <c r="G72" s="13"/>
      <c r="H72" s="13"/>
      <c r="I72" s="25" t="s">
        <v>8</v>
      </c>
      <c r="J72" s="14"/>
      <c r="K72" s="28">
        <v>0.24299999999999999</v>
      </c>
      <c r="L72" s="30" t="s">
        <v>8</v>
      </c>
      <c r="M72" s="73">
        <v>61</v>
      </c>
      <c r="N72" s="73" t="s">
        <v>867</v>
      </c>
      <c r="O72" s="75">
        <v>25.46397</v>
      </c>
    </row>
    <row r="73" spans="1:15" x14ac:dyDescent="0.15">
      <c r="A73" s="12"/>
      <c r="B73" s="25">
        <v>100</v>
      </c>
      <c r="C73" s="25" t="s">
        <v>580</v>
      </c>
      <c r="D73" s="13"/>
      <c r="E73" s="13"/>
      <c r="F73" s="19"/>
      <c r="G73" s="13"/>
      <c r="H73" s="14"/>
      <c r="I73" s="25" t="s">
        <v>8</v>
      </c>
      <c r="J73" s="13"/>
      <c r="K73" s="28">
        <v>0.10199999999999999</v>
      </c>
      <c r="L73" s="30" t="s">
        <v>8</v>
      </c>
      <c r="M73" s="73">
        <v>62</v>
      </c>
      <c r="N73" s="73" t="s">
        <v>868</v>
      </c>
      <c r="O73" s="75">
        <v>0.10688579999999999</v>
      </c>
    </row>
    <row r="74" spans="1:15" x14ac:dyDescent="0.15">
      <c r="A74" s="12"/>
      <c r="B74" s="25">
        <v>1</v>
      </c>
      <c r="C74" s="25" t="s">
        <v>581</v>
      </c>
      <c r="D74" s="13"/>
      <c r="E74" s="13"/>
      <c r="F74" s="13"/>
      <c r="G74" s="14"/>
      <c r="H74" s="13"/>
      <c r="I74" s="25" t="s">
        <v>8</v>
      </c>
      <c r="J74" s="13"/>
      <c r="K74" s="28" t="s">
        <v>869</v>
      </c>
      <c r="L74" s="30" t="s">
        <v>8</v>
      </c>
      <c r="M74" s="73">
        <v>63</v>
      </c>
      <c r="N74" s="73" t="s">
        <v>870</v>
      </c>
      <c r="O74" s="75">
        <v>1.3622700000000001</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590</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topLeftCell="A37" workbookViewId="0">
      <selection activeCell="L46" sqref="L46:V49"/>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879</v>
      </c>
    </row>
    <row r="3" spans="1:22" ht="17.25" x14ac:dyDescent="0.2">
      <c r="A3" s="7" t="s">
        <v>871</v>
      </c>
      <c r="B3" s="8"/>
      <c r="C3" s="8"/>
      <c r="D3" s="8"/>
      <c r="E3" s="8"/>
      <c r="F3" s="8"/>
      <c r="G3" s="8"/>
      <c r="H3" s="8"/>
      <c r="I3" s="8"/>
      <c r="J3" s="9"/>
      <c r="K3" s="10">
        <v>44550</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872</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380" t="s">
        <v>47</v>
      </c>
      <c r="N11" s="73" t="s">
        <v>14</v>
      </c>
      <c r="O11" s="74" t="s">
        <v>15</v>
      </c>
    </row>
    <row r="12" spans="1:22" x14ac:dyDescent="0.15">
      <c r="A12" s="12"/>
      <c r="B12" s="14"/>
      <c r="C12" s="14"/>
      <c r="D12" s="14"/>
      <c r="E12" s="14"/>
      <c r="F12" s="14"/>
      <c r="G12" s="14"/>
      <c r="H12" s="14"/>
      <c r="I12" s="14"/>
      <c r="J12" s="14"/>
      <c r="K12" s="19"/>
      <c r="L12" s="22" t="s">
        <v>11</v>
      </c>
      <c r="M12" s="380">
        <v>1</v>
      </c>
      <c r="N12" s="74" t="s">
        <v>49</v>
      </c>
      <c r="O12" s="74">
        <v>1</v>
      </c>
    </row>
    <row r="13" spans="1:22" x14ac:dyDescent="0.15">
      <c r="A13" s="12"/>
      <c r="B13" s="14">
        <v>114</v>
      </c>
      <c r="C13" s="23" t="s">
        <v>518</v>
      </c>
      <c r="D13" s="24">
        <v>114</v>
      </c>
      <c r="E13" s="14" t="s">
        <v>519</v>
      </c>
      <c r="F13" s="14"/>
      <c r="G13" s="14"/>
      <c r="H13" s="14"/>
      <c r="I13" s="25" t="s">
        <v>6</v>
      </c>
      <c r="J13" s="14"/>
      <c r="K13" s="26">
        <v>1</v>
      </c>
      <c r="L13" s="27" t="s">
        <v>7</v>
      </c>
      <c r="M13" s="380">
        <v>2</v>
      </c>
      <c r="N13" s="73" t="str">
        <f>L13&amp;" (USD)"</f>
        <v>米ドル (USD)</v>
      </c>
      <c r="O13" s="74">
        <f>B13</f>
        <v>114</v>
      </c>
    </row>
    <row r="14" spans="1:22" x14ac:dyDescent="0.15">
      <c r="A14" s="12"/>
      <c r="B14" s="25">
        <v>1</v>
      </c>
      <c r="C14" s="25" t="s">
        <v>520</v>
      </c>
      <c r="D14" s="13"/>
      <c r="E14" s="13"/>
      <c r="F14" s="13"/>
      <c r="G14" s="13"/>
      <c r="H14" s="13"/>
      <c r="I14" s="25" t="s">
        <v>6</v>
      </c>
      <c r="J14" s="14"/>
      <c r="K14" s="28">
        <v>0.79600000000000004</v>
      </c>
      <c r="L14" s="29" t="s">
        <v>7</v>
      </c>
      <c r="M14" s="380">
        <v>3</v>
      </c>
      <c r="N14" s="73" t="str">
        <f>SUBSTITUTE(C14,TEXT(B14,"g/標準")&amp;" ","")</f>
        <v>カナダ・ドル (CAD)</v>
      </c>
      <c r="O14" s="75">
        <f>VALUE($K14)/$B14*$B$13</f>
        <v>90.744</v>
      </c>
      <c r="Q14" s="48"/>
      <c r="R14" s="47"/>
      <c r="S14" s="47"/>
      <c r="T14" s="47"/>
      <c r="V14" s="47">
        <f>VALUE($K14)/$B14*$B$13</f>
        <v>90.744</v>
      </c>
    </row>
    <row r="15" spans="1:22" x14ac:dyDescent="0.15">
      <c r="A15" s="12"/>
      <c r="B15" s="25">
        <v>1</v>
      </c>
      <c r="C15" s="25" t="s">
        <v>521</v>
      </c>
      <c r="D15" s="13"/>
      <c r="E15" s="13"/>
      <c r="F15" s="13"/>
      <c r="G15" s="13"/>
      <c r="H15" s="13"/>
      <c r="I15" s="25" t="s">
        <v>8</v>
      </c>
      <c r="J15" s="14"/>
      <c r="K15" s="28">
        <v>0.156</v>
      </c>
      <c r="L15" s="30" t="s">
        <v>8</v>
      </c>
      <c r="M15" s="380">
        <v>4</v>
      </c>
      <c r="N15" s="73" t="str">
        <f t="shared" ref="N15:N74" si="0">SUBSTITUTE(C15,TEXT(B15,"g/標準")&amp;" ","")</f>
        <v>中国元 (CNY)</v>
      </c>
      <c r="O15" s="75">
        <f t="shared" ref="O15:O74" si="1">VALUE($K15)/$B15*$B$13</f>
        <v>17.783999999999999</v>
      </c>
    </row>
    <row r="16" spans="1:22" x14ac:dyDescent="0.15">
      <c r="A16" s="12"/>
      <c r="B16" s="25">
        <v>1</v>
      </c>
      <c r="C16" s="25" t="s">
        <v>522</v>
      </c>
      <c r="D16" s="13"/>
      <c r="E16" s="13"/>
      <c r="F16" s="13"/>
      <c r="G16" s="13"/>
      <c r="H16" s="13"/>
      <c r="I16" s="25" t="s">
        <v>8</v>
      </c>
      <c r="J16" s="14"/>
      <c r="K16" s="28">
        <v>0.113</v>
      </c>
      <c r="L16" s="30" t="s">
        <v>8</v>
      </c>
      <c r="M16" s="380">
        <v>5</v>
      </c>
      <c r="N16" s="73" t="str">
        <f t="shared" si="0"/>
        <v>スウェーデン・クローネ (SEK)</v>
      </c>
      <c r="O16" s="75">
        <f t="shared" si="1"/>
        <v>12.882</v>
      </c>
    </row>
    <row r="17" spans="1:15" x14ac:dyDescent="0.15">
      <c r="A17" s="12"/>
      <c r="B17" s="25">
        <v>1</v>
      </c>
      <c r="C17" s="25" t="s">
        <v>523</v>
      </c>
      <c r="D17" s="13"/>
      <c r="E17" s="13"/>
      <c r="F17" s="13"/>
      <c r="G17" s="13"/>
      <c r="H17" s="13"/>
      <c r="I17" s="25" t="s">
        <v>8</v>
      </c>
      <c r="J17" s="14"/>
      <c r="K17" s="28">
        <v>1.08</v>
      </c>
      <c r="L17" s="30" t="s">
        <v>8</v>
      </c>
      <c r="M17" s="380">
        <v>6</v>
      </c>
      <c r="N17" s="73" t="str">
        <f t="shared" si="0"/>
        <v>スイス・フラン (CHF)</v>
      </c>
      <c r="O17" s="75">
        <f t="shared" si="1"/>
        <v>123.12</v>
      </c>
    </row>
    <row r="18" spans="1:15" ht="15.75" customHeight="1" x14ac:dyDescent="0.15">
      <c r="A18" s="12"/>
      <c r="B18" s="25">
        <v>1</v>
      </c>
      <c r="C18" s="25" t="s">
        <v>524</v>
      </c>
      <c r="D18" s="13"/>
      <c r="E18" s="13"/>
      <c r="F18" s="13"/>
      <c r="G18" s="13"/>
      <c r="H18" s="13"/>
      <c r="I18" s="25" t="s">
        <v>8</v>
      </c>
      <c r="J18" s="14"/>
      <c r="K18" s="28">
        <v>1.35</v>
      </c>
      <c r="L18" s="30" t="s">
        <v>8</v>
      </c>
      <c r="M18" s="380">
        <v>7</v>
      </c>
      <c r="N18" s="73" t="str">
        <f t="shared" si="0"/>
        <v>スターリング・ポンド (GBP)</v>
      </c>
      <c r="O18" s="75">
        <f t="shared" si="1"/>
        <v>153.9</v>
      </c>
    </row>
    <row r="19" spans="1:15" ht="15.75" customHeight="1" x14ac:dyDescent="0.15">
      <c r="A19" s="12"/>
      <c r="B19" s="25">
        <v>1</v>
      </c>
      <c r="C19" s="25" t="s">
        <v>525</v>
      </c>
      <c r="D19" s="13"/>
      <c r="E19" s="13"/>
      <c r="F19" s="13"/>
      <c r="G19" s="13"/>
      <c r="H19" s="13"/>
      <c r="I19" s="25" t="s">
        <v>8</v>
      </c>
      <c r="J19" s="14"/>
      <c r="K19" s="28">
        <v>1.1399999999999999</v>
      </c>
      <c r="L19" s="30" t="s">
        <v>8</v>
      </c>
      <c r="M19" s="380">
        <v>8</v>
      </c>
      <c r="N19" s="73" t="str">
        <f t="shared" si="0"/>
        <v>ユーロ (EUR)</v>
      </c>
      <c r="O19" s="75">
        <f t="shared" si="1"/>
        <v>129.95999999999998</v>
      </c>
    </row>
    <row r="20" spans="1:15" x14ac:dyDescent="0.15">
      <c r="A20" s="12"/>
      <c r="B20" s="25">
        <v>1</v>
      </c>
      <c r="C20" s="25" t="s">
        <v>526</v>
      </c>
      <c r="D20" s="13"/>
      <c r="E20" s="13"/>
      <c r="F20" s="13"/>
      <c r="G20" s="13"/>
      <c r="H20" s="13"/>
      <c r="I20" s="25" t="s">
        <v>8</v>
      </c>
      <c r="J20" s="14"/>
      <c r="K20" s="28">
        <v>0.27200000000000002</v>
      </c>
      <c r="L20" s="30" t="s">
        <v>8</v>
      </c>
      <c r="M20" s="380">
        <v>9</v>
      </c>
      <c r="N20" s="73" t="str">
        <f t="shared" si="0"/>
        <v>アラブ首長国連邦ディルハム (AED)</v>
      </c>
      <c r="O20" s="75">
        <f t="shared" si="1"/>
        <v>31.008000000000003</v>
      </c>
    </row>
    <row r="21" spans="1:15" x14ac:dyDescent="0.15">
      <c r="A21" s="12"/>
      <c r="B21" s="25">
        <v>1</v>
      </c>
      <c r="C21" s="25" t="s">
        <v>527</v>
      </c>
      <c r="D21" s="13"/>
      <c r="E21" s="13"/>
      <c r="F21" s="13"/>
      <c r="G21" s="13"/>
      <c r="H21" s="13"/>
      <c r="I21" s="25" t="s">
        <v>8</v>
      </c>
      <c r="J21" s="14"/>
      <c r="K21" s="28">
        <v>9.9699999999999997E-3</v>
      </c>
      <c r="L21" s="30" t="s">
        <v>8</v>
      </c>
      <c r="M21" s="380">
        <v>10</v>
      </c>
      <c r="N21" s="73" t="str">
        <f t="shared" si="0"/>
        <v>アルゼンチン・ペソ (ARS)</v>
      </c>
      <c r="O21" s="75">
        <f t="shared" si="1"/>
        <v>1.1365799999999999</v>
      </c>
    </row>
    <row r="22" spans="1:15" x14ac:dyDescent="0.15">
      <c r="A22" s="12"/>
      <c r="B22" s="25">
        <v>1</v>
      </c>
      <c r="C22" s="25" t="s">
        <v>528</v>
      </c>
      <c r="D22" s="13"/>
      <c r="E22" s="13"/>
      <c r="F22" s="13"/>
      <c r="G22" s="13"/>
      <c r="H22" s="13"/>
      <c r="I22" s="25" t="s">
        <v>8</v>
      </c>
      <c r="J22" s="14"/>
      <c r="K22" s="28" t="s">
        <v>873</v>
      </c>
      <c r="L22" s="30" t="s">
        <v>8</v>
      </c>
      <c r="M22" s="380">
        <v>11</v>
      </c>
      <c r="N22" s="73" t="str">
        <f t="shared" si="0"/>
        <v>イスラエル・シェケル (ILS)</v>
      </c>
      <c r="O22" s="75">
        <f t="shared" si="1"/>
        <v>36.480000000000004</v>
      </c>
    </row>
    <row r="23" spans="1:15" x14ac:dyDescent="0.15">
      <c r="A23" s="12"/>
      <c r="B23" s="25">
        <v>1</v>
      </c>
      <c r="C23" s="25" t="s">
        <v>529</v>
      </c>
      <c r="D23" s="13"/>
      <c r="E23" s="13"/>
      <c r="F23" s="31"/>
      <c r="G23" s="13"/>
      <c r="H23" s="13"/>
      <c r="I23" s="25" t="s">
        <v>8</v>
      </c>
      <c r="J23" s="14"/>
      <c r="K23" s="28">
        <v>2.3799999999999999E-5</v>
      </c>
      <c r="L23" s="30" t="s">
        <v>8</v>
      </c>
      <c r="M23" s="380">
        <v>12</v>
      </c>
      <c r="N23" s="73" t="str">
        <f t="shared" si="0"/>
        <v xml:space="preserve">イラン・リアル (IRR) </v>
      </c>
      <c r="O23" s="75">
        <f t="shared" si="1"/>
        <v>2.7131999999999998E-3</v>
      </c>
    </row>
    <row r="24" spans="1:15" x14ac:dyDescent="0.15">
      <c r="A24" s="12"/>
      <c r="B24" s="25">
        <v>1</v>
      </c>
      <c r="C24" s="25" t="s">
        <v>530</v>
      </c>
      <c r="D24" s="13"/>
      <c r="E24" s="13"/>
      <c r="F24" s="13"/>
      <c r="G24" s="13"/>
      <c r="H24" s="13"/>
      <c r="I24" s="25" t="s">
        <v>8</v>
      </c>
      <c r="J24" s="14"/>
      <c r="K24" s="28">
        <v>1.34E-2</v>
      </c>
      <c r="L24" s="30" t="s">
        <v>8</v>
      </c>
      <c r="M24" s="380">
        <v>13</v>
      </c>
      <c r="N24" s="73" t="str">
        <f t="shared" si="0"/>
        <v>インド・ルピー (INR)</v>
      </c>
      <c r="O24" s="75">
        <f t="shared" si="1"/>
        <v>1.5276000000000001</v>
      </c>
    </row>
    <row r="25" spans="1:15" x14ac:dyDescent="0.15">
      <c r="A25" s="12"/>
      <c r="B25" s="25">
        <v>100</v>
      </c>
      <c r="C25" s="25" t="s">
        <v>531</v>
      </c>
      <c r="D25" s="13"/>
      <c r="E25" s="13"/>
      <c r="F25" s="13"/>
      <c r="G25" s="13"/>
      <c r="H25" s="13"/>
      <c r="I25" s="25" t="s">
        <v>8</v>
      </c>
      <c r="J25" s="14"/>
      <c r="K25" s="28">
        <v>7.0099999999999997E-3</v>
      </c>
      <c r="L25" s="30" t="s">
        <v>8</v>
      </c>
      <c r="M25" s="380">
        <v>14</v>
      </c>
      <c r="N25" s="73" t="str">
        <f t="shared" si="0"/>
        <v>インドネシア・ルピア (IDR)</v>
      </c>
      <c r="O25" s="75">
        <f t="shared" si="1"/>
        <v>7.9913999999999992E-3</v>
      </c>
    </row>
    <row r="26" spans="1:15" x14ac:dyDescent="0.15">
      <c r="A26" s="12"/>
      <c r="B26" s="25">
        <v>1</v>
      </c>
      <c r="C26" s="25" t="s">
        <v>532</v>
      </c>
      <c r="D26" s="13"/>
      <c r="E26" s="13"/>
      <c r="F26" s="13"/>
      <c r="G26" s="13"/>
      <c r="H26" s="13"/>
      <c r="I26" s="25" t="s">
        <v>8</v>
      </c>
      <c r="J26" s="14"/>
      <c r="K26" s="28" t="s">
        <v>874</v>
      </c>
      <c r="L26" s="30" t="s">
        <v>8</v>
      </c>
      <c r="M26" s="380">
        <v>15</v>
      </c>
      <c r="N26" s="73" t="str">
        <f t="shared" si="0"/>
        <v>オーストラリア・ドル (AUD)</v>
      </c>
      <c r="O26" s="75">
        <f t="shared" si="1"/>
        <v>83.22</v>
      </c>
    </row>
    <row r="27" spans="1:15" x14ac:dyDescent="0.15">
      <c r="A27" s="12"/>
      <c r="B27" s="25">
        <v>1</v>
      </c>
      <c r="C27" s="25" t="s">
        <v>533</v>
      </c>
      <c r="D27" s="13"/>
      <c r="E27" s="13"/>
      <c r="F27" s="13"/>
      <c r="G27" s="32"/>
      <c r="H27" s="13"/>
      <c r="I27" s="25" t="s">
        <v>8</v>
      </c>
      <c r="J27" s="14"/>
      <c r="K27" s="28" t="s">
        <v>534</v>
      </c>
      <c r="L27" s="30" t="s">
        <v>8</v>
      </c>
      <c r="M27" s="380">
        <v>16</v>
      </c>
      <c r="N27" s="73" t="str">
        <f t="shared" si="0"/>
        <v>オマーン・リアル (OMR)</v>
      </c>
      <c r="O27" s="75">
        <f t="shared" si="1"/>
        <v>296.40000000000003</v>
      </c>
    </row>
    <row r="28" spans="1:15" x14ac:dyDescent="0.15">
      <c r="A28" s="12"/>
      <c r="B28" s="25">
        <v>1</v>
      </c>
      <c r="C28" s="25" t="s">
        <v>535</v>
      </c>
      <c r="D28" s="13"/>
      <c r="E28" s="13"/>
      <c r="F28" s="13"/>
      <c r="G28" s="13"/>
      <c r="H28" s="13"/>
      <c r="I28" s="25" t="s">
        <v>8</v>
      </c>
      <c r="J28" s="14"/>
      <c r="K28" s="28">
        <v>0.27300000000000002</v>
      </c>
      <c r="L28" s="30" t="s">
        <v>8</v>
      </c>
      <c r="M28" s="380">
        <v>17</v>
      </c>
      <c r="N28" s="73" t="str">
        <f t="shared" si="0"/>
        <v>カタール・リアル (QAR)</v>
      </c>
      <c r="O28" s="75">
        <f t="shared" si="1"/>
        <v>31.122000000000003</v>
      </c>
    </row>
    <row r="29" spans="1:15" x14ac:dyDescent="0.15">
      <c r="A29" s="12"/>
      <c r="B29" s="25">
        <v>100</v>
      </c>
      <c r="C29" s="25" t="s">
        <v>536</v>
      </c>
      <c r="D29" s="13"/>
      <c r="E29" s="13"/>
      <c r="F29" s="13"/>
      <c r="G29" s="13"/>
      <c r="H29" s="13"/>
      <c r="I29" s="25" t="s">
        <v>8</v>
      </c>
      <c r="J29" s="14"/>
      <c r="K29" s="28">
        <v>8.4400000000000003E-2</v>
      </c>
      <c r="L29" s="30" t="s">
        <v>8</v>
      </c>
      <c r="M29" s="380">
        <v>18</v>
      </c>
      <c r="N29" s="73" t="str">
        <f t="shared" si="0"/>
        <v>韓国ウォン (KRW)</v>
      </c>
      <c r="O29" s="75">
        <f t="shared" si="1"/>
        <v>9.6215999999999996E-2</v>
      </c>
    </row>
    <row r="30" spans="1:15" x14ac:dyDescent="0.15">
      <c r="A30" s="12"/>
      <c r="B30" s="25">
        <v>100</v>
      </c>
      <c r="C30" s="25" t="s">
        <v>537</v>
      </c>
      <c r="D30" s="13"/>
      <c r="E30" s="13"/>
      <c r="F30" s="13"/>
      <c r="G30" s="13"/>
      <c r="H30" s="13"/>
      <c r="I30" s="25" t="s">
        <v>8</v>
      </c>
      <c r="J30" s="14"/>
      <c r="K30" s="28">
        <v>2.46E-2</v>
      </c>
      <c r="L30" s="30" t="s">
        <v>8</v>
      </c>
      <c r="M30" s="380">
        <v>19</v>
      </c>
      <c r="N30" s="73" t="str">
        <f t="shared" si="0"/>
        <v>カンボジア・リエル (KHR)</v>
      </c>
      <c r="O30" s="75">
        <f t="shared" si="1"/>
        <v>2.8044000000000003E-2</v>
      </c>
    </row>
    <row r="31" spans="1:15" x14ac:dyDescent="0.15">
      <c r="A31" s="12"/>
      <c r="B31" s="25">
        <v>1</v>
      </c>
      <c r="C31" s="25" t="s">
        <v>538</v>
      </c>
      <c r="D31" s="13"/>
      <c r="E31" s="13"/>
      <c r="F31" s="13"/>
      <c r="G31" s="13"/>
      <c r="H31" s="13"/>
      <c r="I31" s="25" t="s">
        <v>8</v>
      </c>
      <c r="J31" s="14"/>
      <c r="K31" s="28">
        <v>3.31</v>
      </c>
      <c r="L31" s="30" t="s">
        <v>8</v>
      </c>
      <c r="M31" s="380">
        <v>20</v>
      </c>
      <c r="N31" s="73" t="str">
        <f t="shared" si="0"/>
        <v>クウェート・ディナール (KWD)</v>
      </c>
      <c r="O31" s="75">
        <f t="shared" si="1"/>
        <v>377.34000000000003</v>
      </c>
    </row>
    <row r="32" spans="1:15" x14ac:dyDescent="0.15">
      <c r="A32" s="12"/>
      <c r="B32" s="25">
        <v>1</v>
      </c>
      <c r="C32" s="25" t="s">
        <v>539</v>
      </c>
      <c r="D32" s="13"/>
      <c r="E32" s="13"/>
      <c r="F32" s="13"/>
      <c r="G32" s="13"/>
      <c r="H32" s="13"/>
      <c r="I32" s="25" t="s">
        <v>8</v>
      </c>
      <c r="J32" s="14"/>
      <c r="K32" s="28">
        <v>8.9300000000000004E-3</v>
      </c>
      <c r="L32" s="30" t="s">
        <v>8</v>
      </c>
      <c r="M32" s="380">
        <v>21</v>
      </c>
      <c r="N32" s="73" t="str">
        <f t="shared" si="0"/>
        <v>ケニア・シリング (KES)</v>
      </c>
      <c r="O32" s="75">
        <f t="shared" si="1"/>
        <v>1.0180200000000001</v>
      </c>
    </row>
    <row r="33" spans="1:15" x14ac:dyDescent="0.15">
      <c r="A33" s="12"/>
      <c r="B33" s="25">
        <v>100</v>
      </c>
      <c r="C33" s="25" t="s">
        <v>540</v>
      </c>
      <c r="D33" s="13"/>
      <c r="E33" s="13"/>
      <c r="F33" s="13"/>
      <c r="G33" s="13"/>
      <c r="H33" s="13"/>
      <c r="I33" s="25" t="s">
        <v>8</v>
      </c>
      <c r="J33" s="14"/>
      <c r="K33" s="28">
        <v>2.5600000000000001E-2</v>
      </c>
      <c r="L33" s="30" t="s">
        <v>8</v>
      </c>
      <c r="M33" s="380">
        <v>22</v>
      </c>
      <c r="N33" s="73" t="str">
        <f t="shared" si="0"/>
        <v>コロンビア・ペソ (COP)</v>
      </c>
      <c r="O33" s="75">
        <f t="shared" si="1"/>
        <v>2.9183999999999998E-2</v>
      </c>
    </row>
    <row r="34" spans="1:15" x14ac:dyDescent="0.15">
      <c r="A34" s="12"/>
      <c r="B34" s="25">
        <v>1</v>
      </c>
      <c r="C34" s="25" t="s">
        <v>541</v>
      </c>
      <c r="D34" s="13"/>
      <c r="E34" s="13"/>
      <c r="F34" s="13"/>
      <c r="G34" s="13"/>
      <c r="H34" s="13"/>
      <c r="I34" s="25" t="s">
        <v>8</v>
      </c>
      <c r="J34" s="14"/>
      <c r="K34" s="28">
        <v>0.26700000000000002</v>
      </c>
      <c r="L34" s="30" t="s">
        <v>8</v>
      </c>
      <c r="M34" s="380">
        <v>23</v>
      </c>
      <c r="N34" s="73" t="str">
        <f t="shared" si="0"/>
        <v>サウジアラビア・リアル (SAR)</v>
      </c>
      <c r="O34" s="75">
        <f t="shared" si="1"/>
        <v>30.438000000000002</v>
      </c>
    </row>
    <row r="35" spans="1:15" x14ac:dyDescent="0.15">
      <c r="A35" s="12"/>
      <c r="B35" s="25">
        <v>1</v>
      </c>
      <c r="C35" s="25" t="s">
        <v>542</v>
      </c>
      <c r="D35" s="13"/>
      <c r="E35" s="13"/>
      <c r="F35" s="13"/>
      <c r="G35" s="13"/>
      <c r="H35" s="13"/>
      <c r="I35" s="25" t="s">
        <v>8</v>
      </c>
      <c r="J35" s="14"/>
      <c r="K35" s="28">
        <v>0.73699999999999999</v>
      </c>
      <c r="L35" s="30" t="s">
        <v>8</v>
      </c>
      <c r="M35" s="380">
        <v>24</v>
      </c>
      <c r="N35" s="73" t="str">
        <f t="shared" si="0"/>
        <v>シンガポール・ドル(SGD)</v>
      </c>
      <c r="O35" s="75">
        <f t="shared" si="1"/>
        <v>84.018000000000001</v>
      </c>
    </row>
    <row r="36" spans="1:15" x14ac:dyDescent="0.15">
      <c r="A36" s="12"/>
      <c r="B36" s="25">
        <v>100</v>
      </c>
      <c r="C36" s="25" t="s">
        <v>543</v>
      </c>
      <c r="D36" s="13"/>
      <c r="E36" s="13"/>
      <c r="F36" s="13"/>
      <c r="G36" s="13"/>
      <c r="H36" s="13"/>
      <c r="I36" s="25" t="s">
        <v>8</v>
      </c>
      <c r="J36" s="14"/>
      <c r="K36" s="28" t="s">
        <v>875</v>
      </c>
      <c r="L36" s="30" t="s">
        <v>8</v>
      </c>
      <c r="M36" s="380">
        <v>25</v>
      </c>
      <c r="N36" s="73" t="str">
        <f t="shared" si="0"/>
        <v>新台湾ドル (TWD)</v>
      </c>
      <c r="O36" s="75">
        <f t="shared" si="1"/>
        <v>4.1040000000000001</v>
      </c>
    </row>
    <row r="37" spans="1:15" x14ac:dyDescent="0.15">
      <c r="A37" s="12"/>
      <c r="B37" s="25">
        <v>100</v>
      </c>
      <c r="C37" s="25" t="s">
        <v>544</v>
      </c>
      <c r="D37" s="13"/>
      <c r="E37" s="13"/>
      <c r="F37" s="13"/>
      <c r="G37" s="13"/>
      <c r="H37" s="13"/>
      <c r="I37" s="25" t="s">
        <v>8</v>
      </c>
      <c r="J37" s="14"/>
      <c r="K37" s="28">
        <v>0.495</v>
      </c>
      <c r="L37" s="30" t="s">
        <v>8</v>
      </c>
      <c r="M37" s="380">
        <v>26</v>
      </c>
      <c r="N37" s="73" t="str">
        <f t="shared" si="0"/>
        <v>スリランカ・ルピー (LKR)</v>
      </c>
      <c r="O37" s="75">
        <f t="shared" si="1"/>
        <v>0.56429999999999991</v>
      </c>
    </row>
    <row r="38" spans="1:15" x14ac:dyDescent="0.15">
      <c r="A38" s="12"/>
      <c r="B38" s="25">
        <v>1</v>
      </c>
      <c r="C38" s="25" t="s">
        <v>545</v>
      </c>
      <c r="D38" s="13"/>
      <c r="E38" s="13"/>
      <c r="F38" s="13"/>
      <c r="G38" s="13"/>
      <c r="H38" s="13"/>
      <c r="I38" s="25" t="s">
        <v>8</v>
      </c>
      <c r="J38" s="14"/>
      <c r="K38" s="28">
        <v>7.2499999999999995E-2</v>
      </c>
      <c r="L38" s="30" t="s">
        <v>8</v>
      </c>
      <c r="M38" s="380">
        <v>27</v>
      </c>
      <c r="N38" s="73" t="str">
        <f t="shared" si="0"/>
        <v>セーシェル・ルピー (SCR)</v>
      </c>
      <c r="O38" s="75">
        <f t="shared" si="1"/>
        <v>8.2649999999999988</v>
      </c>
    </row>
    <row r="39" spans="1:15" x14ac:dyDescent="0.15">
      <c r="A39" s="12"/>
      <c r="B39" s="25">
        <v>100</v>
      </c>
      <c r="C39" s="25" t="s">
        <v>546</v>
      </c>
      <c r="D39" s="13"/>
      <c r="E39" s="13"/>
      <c r="F39" s="13"/>
      <c r="G39" s="13"/>
      <c r="H39" s="13"/>
      <c r="I39" s="25" t="s">
        <v>8</v>
      </c>
      <c r="J39" s="14"/>
      <c r="K39" s="28">
        <v>3.02</v>
      </c>
      <c r="L39" s="30" t="s">
        <v>8</v>
      </c>
      <c r="M39" s="380">
        <v>28</v>
      </c>
      <c r="N39" s="73" t="str">
        <f t="shared" si="0"/>
        <v>タイ・バーツ (THB)</v>
      </c>
      <c r="O39" s="75">
        <f t="shared" si="1"/>
        <v>3.4428000000000001</v>
      </c>
    </row>
    <row r="40" spans="1:15" x14ac:dyDescent="0.15">
      <c r="A40" s="12"/>
      <c r="B40" s="25">
        <v>100</v>
      </c>
      <c r="C40" s="25" t="s">
        <v>547</v>
      </c>
      <c r="D40" s="13"/>
      <c r="E40" s="13"/>
      <c r="F40" s="13"/>
      <c r="G40" s="13"/>
      <c r="H40" s="13"/>
      <c r="I40" s="25" t="s">
        <v>8</v>
      </c>
      <c r="J40" s="14"/>
      <c r="K40" s="28">
        <v>0.95799999999999996</v>
      </c>
      <c r="L40" s="30" t="s">
        <v>8</v>
      </c>
      <c r="M40" s="380">
        <v>29</v>
      </c>
      <c r="N40" s="73" t="str">
        <f t="shared" si="0"/>
        <v>タヒチ・パシフィックフラン (XPF)</v>
      </c>
      <c r="O40" s="75">
        <f t="shared" si="1"/>
        <v>1.09212</v>
      </c>
    </row>
    <row r="41" spans="1:15" x14ac:dyDescent="0.15">
      <c r="A41" s="12"/>
      <c r="B41" s="25">
        <v>1</v>
      </c>
      <c r="C41" s="25" t="s">
        <v>548</v>
      </c>
      <c r="D41" s="13"/>
      <c r="E41" s="13"/>
      <c r="F41" s="13"/>
      <c r="G41" s="13"/>
      <c r="H41" s="13"/>
      <c r="I41" s="25" t="s">
        <v>8</v>
      </c>
      <c r="J41" s="14"/>
      <c r="K41" s="28">
        <v>4.4900000000000002E-2</v>
      </c>
      <c r="L41" s="30" t="s">
        <v>8</v>
      </c>
      <c r="M41" s="380">
        <v>30</v>
      </c>
      <c r="N41" s="73" t="str">
        <f t="shared" si="0"/>
        <v>チェコ・コルナ (CZK)</v>
      </c>
      <c r="O41" s="75">
        <f t="shared" si="1"/>
        <v>5.1186000000000007</v>
      </c>
    </row>
    <row r="42" spans="1:15" x14ac:dyDescent="0.15">
      <c r="A42" s="12"/>
      <c r="B42" s="25">
        <v>100</v>
      </c>
      <c r="C42" s="25" t="s">
        <v>549</v>
      </c>
      <c r="D42" s="13"/>
      <c r="E42" s="13"/>
      <c r="F42" s="13"/>
      <c r="G42" s="13"/>
      <c r="H42" s="13"/>
      <c r="I42" s="25" t="s">
        <v>8</v>
      </c>
      <c r="J42" s="14"/>
      <c r="K42" s="28">
        <v>0.123</v>
      </c>
      <c r="L42" s="30" t="s">
        <v>8</v>
      </c>
      <c r="M42" s="380">
        <v>31</v>
      </c>
      <c r="N42" s="73" t="str">
        <f t="shared" si="0"/>
        <v>チリ・ペソ (CLP)</v>
      </c>
      <c r="O42" s="75">
        <f t="shared" si="1"/>
        <v>0.14021999999999998</v>
      </c>
    </row>
    <row r="43" spans="1:15" x14ac:dyDescent="0.15">
      <c r="A43" s="12"/>
      <c r="B43" s="25">
        <v>1</v>
      </c>
      <c r="C43" s="25" t="s">
        <v>550</v>
      </c>
      <c r="D43" s="13"/>
      <c r="E43" s="13"/>
      <c r="F43" s="13"/>
      <c r="G43" s="13"/>
      <c r="H43" s="13"/>
      <c r="I43" s="25" t="s">
        <v>8</v>
      </c>
      <c r="J43" s="14"/>
      <c r="K43" s="28">
        <v>0.153</v>
      </c>
      <c r="L43" s="30" t="s">
        <v>8</v>
      </c>
      <c r="M43" s="380">
        <v>32</v>
      </c>
      <c r="N43" s="73" t="str">
        <f t="shared" si="0"/>
        <v>デンマーク・クローネ (DKK)</v>
      </c>
      <c r="O43" s="75">
        <f t="shared" si="1"/>
        <v>17.442</v>
      </c>
    </row>
    <row r="44" spans="1:15" x14ac:dyDescent="0.15">
      <c r="A44" s="12"/>
      <c r="B44" s="25">
        <v>1</v>
      </c>
      <c r="C44" s="25" t="s">
        <v>551</v>
      </c>
      <c r="D44" s="13"/>
      <c r="E44" s="13"/>
      <c r="F44" s="13"/>
      <c r="G44" s="13"/>
      <c r="H44" s="13"/>
      <c r="I44" s="25" t="s">
        <v>8</v>
      </c>
      <c r="J44" s="14"/>
      <c r="K44" s="28">
        <v>0.14799999999999999</v>
      </c>
      <c r="L44" s="30" t="s">
        <v>8</v>
      </c>
      <c r="M44" s="380">
        <v>33</v>
      </c>
      <c r="N44" s="73" t="str">
        <f t="shared" si="0"/>
        <v>トリニダード・トバゴ・ドル (TTD)</v>
      </c>
      <c r="O44" s="75">
        <f t="shared" si="1"/>
        <v>16.872</v>
      </c>
    </row>
    <row r="45" spans="1:15" x14ac:dyDescent="0.15">
      <c r="A45" s="12"/>
      <c r="B45" s="25">
        <v>1</v>
      </c>
      <c r="C45" s="25" t="s">
        <v>552</v>
      </c>
      <c r="D45" s="13"/>
      <c r="E45" s="13"/>
      <c r="F45" s="13"/>
      <c r="G45" s="13"/>
      <c r="H45" s="13"/>
      <c r="I45" s="25" t="s">
        <v>8</v>
      </c>
      <c r="J45" s="14"/>
      <c r="K45" s="28">
        <v>9.2600000000000002E-2</v>
      </c>
      <c r="L45" s="30" t="s">
        <v>8</v>
      </c>
      <c r="M45" s="380">
        <v>34</v>
      </c>
      <c r="N45" s="73" t="str">
        <f t="shared" si="0"/>
        <v>トルコ・リラ (TRY)</v>
      </c>
      <c r="O45" s="75">
        <f t="shared" si="1"/>
        <v>10.5564</v>
      </c>
    </row>
    <row r="46" spans="1:15" x14ac:dyDescent="0.15">
      <c r="A46" s="12"/>
      <c r="B46" s="25">
        <v>1</v>
      </c>
      <c r="C46" s="25" t="s">
        <v>553</v>
      </c>
      <c r="D46" s="13"/>
      <c r="E46" s="13"/>
      <c r="F46" s="13"/>
      <c r="G46" s="13"/>
      <c r="H46" s="13"/>
      <c r="I46" s="25" t="s">
        <v>8</v>
      </c>
      <c r="J46" s="14"/>
      <c r="K46" s="28">
        <v>2.4199999999999998E-3</v>
      </c>
      <c r="L46" s="30" t="s">
        <v>8</v>
      </c>
      <c r="M46" s="380">
        <v>35</v>
      </c>
      <c r="N46" s="73" t="str">
        <f t="shared" si="0"/>
        <v>ナイジェリア・ナイラ (NGN)</v>
      </c>
      <c r="O46" s="75">
        <f t="shared" si="1"/>
        <v>0.27587999999999996</v>
      </c>
    </row>
    <row r="47" spans="1:15" x14ac:dyDescent="0.15">
      <c r="A47" s="12"/>
      <c r="B47" s="25">
        <v>1</v>
      </c>
      <c r="C47" s="25" t="s">
        <v>554</v>
      </c>
      <c r="D47" s="13"/>
      <c r="E47" s="13"/>
      <c r="F47" s="13"/>
      <c r="G47" s="13"/>
      <c r="H47" s="13"/>
      <c r="I47" s="25" t="s">
        <v>8</v>
      </c>
      <c r="J47" s="14"/>
      <c r="K47" s="28">
        <v>0.70099999999999996</v>
      </c>
      <c r="L47" s="30" t="s">
        <v>8</v>
      </c>
      <c r="M47" s="380">
        <v>36</v>
      </c>
      <c r="N47" s="73" t="str">
        <f t="shared" si="0"/>
        <v>ニュージーランド・ドル (NZD)</v>
      </c>
      <c r="O47" s="75">
        <f t="shared" si="1"/>
        <v>79.914000000000001</v>
      </c>
    </row>
    <row r="48" spans="1:15" x14ac:dyDescent="0.15">
      <c r="A48" s="12"/>
      <c r="B48" s="25">
        <v>1</v>
      </c>
      <c r="C48" s="25" t="s">
        <v>555</v>
      </c>
      <c r="D48" s="13"/>
      <c r="E48" s="13"/>
      <c r="F48" s="13"/>
      <c r="G48" s="13"/>
      <c r="H48" s="13"/>
      <c r="I48" s="25" t="s">
        <v>8</v>
      </c>
      <c r="J48" s="14"/>
      <c r="K48" s="28">
        <v>0.114</v>
      </c>
      <c r="L48" s="30" t="s">
        <v>8</v>
      </c>
      <c r="M48" s="380">
        <v>37</v>
      </c>
      <c r="N48" s="73" t="str">
        <f t="shared" si="0"/>
        <v>ノルウェー・クローネ (NOK)</v>
      </c>
      <c r="O48" s="75">
        <f t="shared" si="1"/>
        <v>12.996</v>
      </c>
    </row>
    <row r="49" spans="1:15" x14ac:dyDescent="0.15">
      <c r="A49" s="12"/>
      <c r="B49" s="25">
        <v>1</v>
      </c>
      <c r="C49" s="25" t="s">
        <v>556</v>
      </c>
      <c r="D49" s="13"/>
      <c r="E49" s="13"/>
      <c r="F49" s="13"/>
      <c r="G49" s="13"/>
      <c r="H49" s="13"/>
      <c r="I49" s="25" t="s">
        <v>8</v>
      </c>
      <c r="J49" s="14"/>
      <c r="K49" s="28">
        <v>5.7600000000000004E-3</v>
      </c>
      <c r="L49" s="30" t="s">
        <v>8</v>
      </c>
      <c r="M49" s="380">
        <v>38</v>
      </c>
      <c r="N49" s="73" t="str">
        <f t="shared" si="0"/>
        <v>パキスタン・ルピー (PKR)</v>
      </c>
      <c r="O49" s="75">
        <f t="shared" si="1"/>
        <v>0.65664</v>
      </c>
    </row>
    <row r="50" spans="1:15" x14ac:dyDescent="0.15">
      <c r="A50" s="12"/>
      <c r="B50" s="25">
        <v>100</v>
      </c>
      <c r="C50" s="25" t="s">
        <v>557</v>
      </c>
      <c r="D50" s="13"/>
      <c r="E50" s="13"/>
      <c r="F50" s="13"/>
      <c r="G50" s="13"/>
      <c r="H50" s="13"/>
      <c r="I50" s="25" t="s">
        <v>8</v>
      </c>
      <c r="J50" s="14"/>
      <c r="K50" s="28">
        <v>0.89900000000000002</v>
      </c>
      <c r="L50" s="30" t="s">
        <v>8</v>
      </c>
      <c r="M50" s="380">
        <v>39</v>
      </c>
      <c r="N50" s="73" t="str">
        <f t="shared" si="0"/>
        <v>バヌアツ・バツ (VUV)</v>
      </c>
      <c r="O50" s="75">
        <f t="shared" si="1"/>
        <v>1.0248599999999999</v>
      </c>
    </row>
    <row r="51" spans="1:15" x14ac:dyDescent="0.15">
      <c r="A51" s="12"/>
      <c r="B51" s="25">
        <v>1</v>
      </c>
      <c r="C51" s="25" t="s">
        <v>558</v>
      </c>
      <c r="D51" s="13"/>
      <c r="E51" s="13"/>
      <c r="F51" s="13"/>
      <c r="G51" s="13"/>
      <c r="H51" s="13"/>
      <c r="I51" s="25" t="s">
        <v>8</v>
      </c>
      <c r="J51" s="14"/>
      <c r="K51" s="28">
        <v>0.28399999999999997</v>
      </c>
      <c r="L51" s="30" t="s">
        <v>8</v>
      </c>
      <c r="M51" s="380">
        <v>40</v>
      </c>
      <c r="N51" s="73" t="str">
        <f t="shared" si="0"/>
        <v>パプアニューギニア・キナ (PGK)</v>
      </c>
      <c r="O51" s="75">
        <f t="shared" si="1"/>
        <v>32.375999999999998</v>
      </c>
    </row>
    <row r="52" spans="1:15" x14ac:dyDescent="0.15">
      <c r="A52" s="12"/>
      <c r="B52" s="25">
        <v>1</v>
      </c>
      <c r="C52" s="25" t="s">
        <v>559</v>
      </c>
      <c r="D52" s="13"/>
      <c r="E52" s="13"/>
      <c r="F52" s="13"/>
      <c r="G52" s="13"/>
      <c r="H52" s="13"/>
      <c r="I52" s="25" t="s">
        <v>8</v>
      </c>
      <c r="J52" s="14"/>
      <c r="K52" s="28">
        <v>2.65</v>
      </c>
      <c r="L52" s="30" t="s">
        <v>8</v>
      </c>
      <c r="M52" s="380">
        <v>41</v>
      </c>
      <c r="N52" s="73" t="str">
        <f t="shared" si="0"/>
        <v>バーレーン・ディナール (BHD)</v>
      </c>
      <c r="O52" s="75">
        <f t="shared" si="1"/>
        <v>302.09999999999997</v>
      </c>
    </row>
    <row r="53" spans="1:15" x14ac:dyDescent="0.15">
      <c r="A53" s="12"/>
      <c r="B53" s="25">
        <v>100</v>
      </c>
      <c r="C53" s="25" t="s">
        <v>560</v>
      </c>
      <c r="D53" s="13"/>
      <c r="E53" s="13"/>
      <c r="F53" s="13"/>
      <c r="G53" s="13"/>
      <c r="H53" s="13"/>
      <c r="I53" s="25" t="s">
        <v>8</v>
      </c>
      <c r="J53" s="14"/>
      <c r="K53" s="28">
        <v>0.313</v>
      </c>
      <c r="L53" s="30" t="s">
        <v>8</v>
      </c>
      <c r="M53" s="380">
        <v>42</v>
      </c>
      <c r="N53" s="73" t="str">
        <f t="shared" si="0"/>
        <v>ハンガリー・フォリント (HUF)</v>
      </c>
      <c r="O53" s="75">
        <f t="shared" si="1"/>
        <v>0.35681999999999997</v>
      </c>
    </row>
    <row r="54" spans="1:15" x14ac:dyDescent="0.15">
      <c r="A54" s="12"/>
      <c r="B54" s="25">
        <v>100</v>
      </c>
      <c r="C54" s="25" t="s">
        <v>561</v>
      </c>
      <c r="D54" s="13"/>
      <c r="E54" s="13"/>
      <c r="F54" s="13"/>
      <c r="G54" s="13"/>
      <c r="H54" s="13"/>
      <c r="I54" s="25" t="s">
        <v>8</v>
      </c>
      <c r="J54" s="14"/>
      <c r="K54" s="28">
        <v>1.17</v>
      </c>
      <c r="L54" s="30" t="s">
        <v>8</v>
      </c>
      <c r="M54" s="380">
        <v>43</v>
      </c>
      <c r="N54" s="73" t="str">
        <f t="shared" si="0"/>
        <v>バングラデシュ・タカ (BDT)</v>
      </c>
      <c r="O54" s="75">
        <f t="shared" si="1"/>
        <v>1.3337999999999999</v>
      </c>
    </row>
    <row r="55" spans="1:15" x14ac:dyDescent="0.15">
      <c r="A55" s="12"/>
      <c r="B55" s="25">
        <v>1</v>
      </c>
      <c r="C55" s="25" t="s">
        <v>562</v>
      </c>
      <c r="D55" s="13"/>
      <c r="E55" s="13"/>
      <c r="F55" s="13"/>
      <c r="G55" s="13"/>
      <c r="H55" s="13"/>
      <c r="I55" s="25" t="s">
        <v>8</v>
      </c>
      <c r="J55" s="14"/>
      <c r="K55" s="28">
        <v>0.47699999999999998</v>
      </c>
      <c r="L55" s="30" t="s">
        <v>8</v>
      </c>
      <c r="M55" s="380">
        <v>44</v>
      </c>
      <c r="N55" s="73" t="str">
        <f t="shared" si="0"/>
        <v>フィジー・ドル (FJD)</v>
      </c>
      <c r="O55" s="75">
        <f t="shared" si="1"/>
        <v>54.378</v>
      </c>
    </row>
    <row r="56" spans="1:15" x14ac:dyDescent="0.15">
      <c r="A56" s="12"/>
      <c r="B56" s="25">
        <v>1</v>
      </c>
      <c r="C56" s="25" t="s">
        <v>563</v>
      </c>
      <c r="D56" s="13"/>
      <c r="E56" s="13"/>
      <c r="F56" s="13"/>
      <c r="G56" s="13"/>
      <c r="H56" s="13"/>
      <c r="I56" s="25" t="s">
        <v>8</v>
      </c>
      <c r="J56" s="13"/>
      <c r="K56" s="28">
        <v>1.9900000000000001E-2</v>
      </c>
      <c r="L56" s="30" t="s">
        <v>8</v>
      </c>
      <c r="M56" s="380">
        <v>45</v>
      </c>
      <c r="N56" s="73" t="str">
        <f t="shared" si="0"/>
        <v>フィリピン・ペソ (PHP)</v>
      </c>
      <c r="O56" s="75">
        <f t="shared" si="1"/>
        <v>2.2686000000000002</v>
      </c>
    </row>
    <row r="57" spans="1:15" x14ac:dyDescent="0.15">
      <c r="A57" s="12"/>
      <c r="B57" s="25">
        <v>1</v>
      </c>
      <c r="C57" s="25" t="s">
        <v>564</v>
      </c>
      <c r="D57" s="13"/>
      <c r="E57" s="13"/>
      <c r="F57" s="13"/>
      <c r="G57" s="13"/>
      <c r="H57" s="13"/>
      <c r="I57" s="25" t="s">
        <v>8</v>
      </c>
      <c r="J57" s="14"/>
      <c r="K57" s="28" t="s">
        <v>876</v>
      </c>
      <c r="L57" s="30" t="s">
        <v>8</v>
      </c>
      <c r="M57" s="380">
        <v>46</v>
      </c>
      <c r="N57" s="73" t="str">
        <f t="shared" si="0"/>
        <v>ブラジル・レアル (BRL)</v>
      </c>
      <c r="O57" s="75">
        <f t="shared" si="1"/>
        <v>20.52</v>
      </c>
    </row>
    <row r="58" spans="1:15" x14ac:dyDescent="0.15">
      <c r="A58" s="12"/>
      <c r="B58" s="25">
        <v>1</v>
      </c>
      <c r="C58" s="25" t="s">
        <v>565</v>
      </c>
      <c r="D58" s="13"/>
      <c r="E58" s="13"/>
      <c r="F58" s="13"/>
      <c r="G58" s="13"/>
      <c r="H58" s="13"/>
      <c r="I58" s="25" t="s">
        <v>8</v>
      </c>
      <c r="J58" s="14"/>
      <c r="K58" s="28">
        <v>0.73699999999999999</v>
      </c>
      <c r="L58" s="30" t="s">
        <v>8</v>
      </c>
      <c r="M58" s="380">
        <v>47</v>
      </c>
      <c r="N58" s="73" t="str">
        <f t="shared" si="0"/>
        <v>ブルネイ・ドル (BND)</v>
      </c>
      <c r="O58" s="75">
        <f t="shared" si="1"/>
        <v>84.018000000000001</v>
      </c>
    </row>
    <row r="59" spans="1:15" x14ac:dyDescent="0.15">
      <c r="A59" s="12"/>
      <c r="B59" s="25">
        <v>100</v>
      </c>
      <c r="C59" s="25" t="s">
        <v>566</v>
      </c>
      <c r="D59" s="13"/>
      <c r="E59" s="13"/>
      <c r="F59" s="13"/>
      <c r="G59" s="13"/>
      <c r="H59" s="13"/>
      <c r="I59" s="25" t="s">
        <v>8</v>
      </c>
      <c r="J59" s="14"/>
      <c r="K59" s="28">
        <v>4.4099999999999999E-3</v>
      </c>
      <c r="L59" s="30" t="s">
        <v>8</v>
      </c>
      <c r="M59" s="380">
        <v>48</v>
      </c>
      <c r="N59" s="73" t="str">
        <f t="shared" si="0"/>
        <v>ベトナム・ドン (VND)</v>
      </c>
      <c r="O59" s="75">
        <f t="shared" si="1"/>
        <v>5.0274000000000004E-3</v>
      </c>
    </row>
    <row r="60" spans="1:15" x14ac:dyDescent="0.15">
      <c r="A60" s="12"/>
      <c r="B60" s="25">
        <v>1</v>
      </c>
      <c r="C60" s="25" t="s">
        <v>567</v>
      </c>
      <c r="D60" s="13"/>
      <c r="E60" s="13"/>
      <c r="F60" s="13"/>
      <c r="G60" s="13"/>
      <c r="H60" s="13"/>
      <c r="I60" s="25" t="s">
        <v>8</v>
      </c>
      <c r="J60" s="14"/>
      <c r="K60" s="28">
        <v>0.22600000000000001</v>
      </c>
      <c r="L60" s="30" t="s">
        <v>8</v>
      </c>
      <c r="M60" s="380">
        <v>49</v>
      </c>
      <c r="N60" s="73" t="str">
        <f t="shared" si="0"/>
        <v>ベネズエラ・ボリーバル (VES)</v>
      </c>
      <c r="O60" s="75">
        <f t="shared" si="1"/>
        <v>25.763999999999999</v>
      </c>
    </row>
    <row r="61" spans="1:15" x14ac:dyDescent="0.15">
      <c r="A61" s="12"/>
      <c r="B61" s="25">
        <v>1</v>
      </c>
      <c r="C61" s="25" t="s">
        <v>568</v>
      </c>
      <c r="D61" s="13"/>
      <c r="E61" s="13"/>
      <c r="F61" s="13"/>
      <c r="G61" s="13"/>
      <c r="H61" s="13"/>
      <c r="I61" s="25" t="s">
        <v>8</v>
      </c>
      <c r="J61" s="14"/>
      <c r="K61" s="28">
        <v>0.249</v>
      </c>
      <c r="L61" s="30" t="s">
        <v>8</v>
      </c>
      <c r="M61" s="380">
        <v>50</v>
      </c>
      <c r="N61" s="73" t="str">
        <f t="shared" si="0"/>
        <v>ペルー・ヌエボ・ソル (PEN)</v>
      </c>
      <c r="O61" s="75">
        <f t="shared" si="1"/>
        <v>28.385999999999999</v>
      </c>
    </row>
    <row r="62" spans="1:15" x14ac:dyDescent="0.15">
      <c r="A62" s="12"/>
      <c r="B62" s="25">
        <v>1</v>
      </c>
      <c r="C62" s="25" t="s">
        <v>569</v>
      </c>
      <c r="D62" s="13"/>
      <c r="E62" s="13"/>
      <c r="F62" s="13"/>
      <c r="G62" s="13"/>
      <c r="H62" s="13"/>
      <c r="I62" s="25" t="s">
        <v>8</v>
      </c>
      <c r="J62" s="14"/>
      <c r="K62" s="28">
        <v>0.245</v>
      </c>
      <c r="L62" s="30" t="s">
        <v>8</v>
      </c>
      <c r="M62" s="380">
        <v>51</v>
      </c>
      <c r="N62" s="73" t="str">
        <f t="shared" si="0"/>
        <v>ポーランド・ズロチ (PLN)</v>
      </c>
      <c r="O62" s="75">
        <f t="shared" si="1"/>
        <v>27.93</v>
      </c>
    </row>
    <row r="63" spans="1:15" x14ac:dyDescent="0.15">
      <c r="A63" s="12"/>
      <c r="B63" s="25">
        <v>1</v>
      </c>
      <c r="C63" s="25" t="s">
        <v>570</v>
      </c>
      <c r="D63" s="13"/>
      <c r="E63" s="13"/>
      <c r="F63" s="13"/>
      <c r="G63" s="13"/>
      <c r="H63" s="13"/>
      <c r="I63" s="25" t="s">
        <v>8</v>
      </c>
      <c r="J63" s="14"/>
      <c r="K63" s="28">
        <v>0.128</v>
      </c>
      <c r="L63" s="30" t="s">
        <v>8</v>
      </c>
      <c r="M63" s="380">
        <v>52</v>
      </c>
      <c r="N63" s="73" t="str">
        <f t="shared" si="0"/>
        <v>香港ドル (HKD)</v>
      </c>
      <c r="O63" s="75">
        <f t="shared" si="1"/>
        <v>14.592000000000001</v>
      </c>
    </row>
    <row r="64" spans="1:15" x14ac:dyDescent="0.15">
      <c r="A64" s="12"/>
      <c r="B64" s="25">
        <v>1</v>
      </c>
      <c r="C64" s="25" t="s">
        <v>571</v>
      </c>
      <c r="D64" s="13"/>
      <c r="E64" s="13"/>
      <c r="F64" s="13"/>
      <c r="G64" s="13"/>
      <c r="H64" s="13"/>
      <c r="I64" s="25" t="s">
        <v>8</v>
      </c>
      <c r="J64" s="14"/>
      <c r="K64" s="28">
        <v>0.23899999999999999</v>
      </c>
      <c r="L64" s="30" t="s">
        <v>8</v>
      </c>
      <c r="M64" s="380">
        <v>53</v>
      </c>
      <c r="N64" s="73" t="str">
        <f t="shared" si="0"/>
        <v>マレーシア・リンギット (MYR)</v>
      </c>
      <c r="O64" s="75">
        <f t="shared" si="1"/>
        <v>27.245999999999999</v>
      </c>
    </row>
    <row r="65" spans="1:15" x14ac:dyDescent="0.15">
      <c r="A65" s="12"/>
      <c r="B65" s="25">
        <v>1</v>
      </c>
      <c r="C65" s="25" t="s">
        <v>572</v>
      </c>
      <c r="D65" s="13"/>
      <c r="E65" s="13"/>
      <c r="F65" s="13"/>
      <c r="G65" s="13"/>
      <c r="H65" s="13"/>
      <c r="I65" s="25" t="s">
        <v>8</v>
      </c>
      <c r="J65" s="14"/>
      <c r="K65" s="28">
        <v>6.4299999999999996E-2</v>
      </c>
      <c r="L65" s="30" t="s">
        <v>8</v>
      </c>
      <c r="M65" s="380">
        <v>54</v>
      </c>
      <c r="N65" s="73" t="str">
        <f t="shared" si="0"/>
        <v>南アフリカ・ラント (ZAR)</v>
      </c>
      <c r="O65" s="75">
        <f t="shared" si="1"/>
        <v>7.3301999999999996</v>
      </c>
    </row>
    <row r="66" spans="1:15" x14ac:dyDescent="0.15">
      <c r="A66" s="12"/>
      <c r="B66" s="25">
        <v>1</v>
      </c>
      <c r="C66" s="25" t="s">
        <v>573</v>
      </c>
      <c r="D66" s="13"/>
      <c r="E66" s="13"/>
      <c r="F66" s="13"/>
      <c r="G66" s="13"/>
      <c r="H66" s="13"/>
      <c r="I66" s="25" t="s">
        <v>8</v>
      </c>
      <c r="J66" s="14"/>
      <c r="K66" s="28">
        <v>5.5800000000000001E-4</v>
      </c>
      <c r="L66" s="30" t="s">
        <v>8</v>
      </c>
      <c r="M66" s="380">
        <v>55</v>
      </c>
      <c r="N66" s="73" t="str">
        <f t="shared" si="0"/>
        <v>ミャンマー・チャット (MMK)</v>
      </c>
      <c r="O66" s="75">
        <f t="shared" si="1"/>
        <v>6.3612000000000002E-2</v>
      </c>
    </row>
    <row r="67" spans="1:15" x14ac:dyDescent="0.15">
      <c r="A67" s="12"/>
      <c r="B67" s="25">
        <v>1</v>
      </c>
      <c r="C67" s="25" t="s">
        <v>574</v>
      </c>
      <c r="D67" s="13"/>
      <c r="E67" s="13"/>
      <c r="F67" s="13"/>
      <c r="G67" s="13"/>
      <c r="H67" s="13"/>
      <c r="I67" s="25" t="s">
        <v>8</v>
      </c>
      <c r="J67" s="14"/>
      <c r="K67" s="28">
        <v>4.7899999999999998E-2</v>
      </c>
      <c r="L67" s="30" t="s">
        <v>8</v>
      </c>
      <c r="M67" s="380">
        <v>56</v>
      </c>
      <c r="N67" s="73" t="str">
        <f t="shared" si="0"/>
        <v>メキシコ・ペソ (MXN)</v>
      </c>
      <c r="O67" s="75">
        <f t="shared" si="1"/>
        <v>5.4605999999999995</v>
      </c>
    </row>
    <row r="68" spans="1:15" x14ac:dyDescent="0.15">
      <c r="A68" s="12"/>
      <c r="B68" s="25">
        <v>1</v>
      </c>
      <c r="C68" s="25" t="s">
        <v>575</v>
      </c>
      <c r="D68" s="13"/>
      <c r="E68" s="13"/>
      <c r="F68" s="13"/>
      <c r="G68" s="13"/>
      <c r="H68" s="13"/>
      <c r="I68" s="25" t="s">
        <v>8</v>
      </c>
      <c r="J68" s="14"/>
      <c r="K68" s="28">
        <v>2.3099999999999999E-2</v>
      </c>
      <c r="L68" s="30" t="s">
        <v>8</v>
      </c>
      <c r="M68" s="380">
        <v>57</v>
      </c>
      <c r="N68" s="73" t="str">
        <f t="shared" si="0"/>
        <v>モーリシャス・ルピー (MUR)</v>
      </c>
      <c r="O68" s="75">
        <f t="shared" si="1"/>
        <v>2.6334</v>
      </c>
    </row>
    <row r="69" spans="1:15" x14ac:dyDescent="0.15">
      <c r="A69" s="12"/>
      <c r="B69" s="25">
        <v>1</v>
      </c>
      <c r="C69" s="25" t="s">
        <v>576</v>
      </c>
      <c r="D69" s="13"/>
      <c r="E69" s="13"/>
      <c r="F69" s="13"/>
      <c r="G69" s="13"/>
      <c r="H69" s="13"/>
      <c r="I69" s="25" t="s">
        <v>8</v>
      </c>
      <c r="J69" s="14"/>
      <c r="K69" s="28">
        <v>0.109</v>
      </c>
      <c r="L69" s="30" t="s">
        <v>8</v>
      </c>
      <c r="M69" s="380">
        <v>58</v>
      </c>
      <c r="N69" s="73" t="str">
        <f t="shared" si="0"/>
        <v>モロッコ・ディルハム (MAD)</v>
      </c>
      <c r="O69" s="75">
        <f t="shared" si="1"/>
        <v>12.426</v>
      </c>
    </row>
    <row r="70" spans="1:15" x14ac:dyDescent="0.15">
      <c r="A70" s="12"/>
      <c r="B70" s="25">
        <v>1</v>
      </c>
      <c r="C70" s="25" t="s">
        <v>577</v>
      </c>
      <c r="D70" s="13"/>
      <c r="E70" s="13"/>
      <c r="F70" s="13"/>
      <c r="G70" s="13"/>
      <c r="H70" s="13"/>
      <c r="I70" s="25" t="s">
        <v>8</v>
      </c>
      <c r="J70" s="14"/>
      <c r="K70" s="28">
        <v>1.41</v>
      </c>
      <c r="L70" s="30" t="s">
        <v>8</v>
      </c>
      <c r="M70" s="380">
        <v>59</v>
      </c>
      <c r="N70" s="73" t="str">
        <f t="shared" si="0"/>
        <v>ヨルダン・ディナール (JOD)</v>
      </c>
      <c r="O70" s="75">
        <f t="shared" si="1"/>
        <v>160.73999999999998</v>
      </c>
    </row>
    <row r="71" spans="1:15" x14ac:dyDescent="0.15">
      <c r="A71" s="12"/>
      <c r="B71" s="25">
        <v>100</v>
      </c>
      <c r="C71" s="25" t="s">
        <v>578</v>
      </c>
      <c r="D71" s="13"/>
      <c r="E71" s="13"/>
      <c r="F71" s="13"/>
      <c r="G71" s="13"/>
      <c r="H71" s="13"/>
      <c r="I71" s="25" t="s">
        <v>8</v>
      </c>
      <c r="J71" s="14"/>
      <c r="K71" s="28">
        <v>9.4199999999999996E-3</v>
      </c>
      <c r="L71" s="30" t="s">
        <v>8</v>
      </c>
      <c r="M71" s="380">
        <v>60</v>
      </c>
      <c r="N71" s="73" t="str">
        <f t="shared" si="0"/>
        <v>ラオス・キップ (LAK)</v>
      </c>
      <c r="O71" s="75">
        <f t="shared" si="1"/>
        <v>1.07388E-2</v>
      </c>
    </row>
    <row r="72" spans="1:15" x14ac:dyDescent="0.15">
      <c r="A72" s="12"/>
      <c r="B72" s="25">
        <v>1</v>
      </c>
      <c r="C72" s="25" t="s">
        <v>579</v>
      </c>
      <c r="D72" s="13"/>
      <c r="E72" s="13"/>
      <c r="F72" s="13"/>
      <c r="G72" s="13"/>
      <c r="H72" s="13"/>
      <c r="I72" s="25" t="s">
        <v>8</v>
      </c>
      <c r="J72" s="14"/>
      <c r="K72" s="28" t="s">
        <v>877</v>
      </c>
      <c r="L72" s="30" t="s">
        <v>8</v>
      </c>
      <c r="M72" s="380">
        <v>61</v>
      </c>
      <c r="N72" s="73" t="str">
        <f t="shared" si="0"/>
        <v>ルーマニア・レイ (RON)</v>
      </c>
      <c r="O72" s="75">
        <f t="shared" si="1"/>
        <v>26.220000000000002</v>
      </c>
    </row>
    <row r="73" spans="1:15" x14ac:dyDescent="0.15">
      <c r="A73" s="12"/>
      <c r="B73" s="25">
        <v>100</v>
      </c>
      <c r="C73" s="25" t="s">
        <v>580</v>
      </c>
      <c r="D73" s="13"/>
      <c r="E73" s="13"/>
      <c r="F73" s="19"/>
      <c r="G73" s="13"/>
      <c r="H73" s="14"/>
      <c r="I73" s="25" t="s">
        <v>8</v>
      </c>
      <c r="J73" s="13"/>
      <c r="K73" s="28">
        <v>9.8299999999999998E-2</v>
      </c>
      <c r="L73" s="30" t="s">
        <v>8</v>
      </c>
      <c r="M73" s="380">
        <v>62</v>
      </c>
      <c r="N73" s="73" t="str">
        <f t="shared" si="0"/>
        <v>ルワンダ・フラン (RWF)</v>
      </c>
      <c r="O73" s="75">
        <f t="shared" si="1"/>
        <v>0.11206199999999999</v>
      </c>
    </row>
    <row r="74" spans="1:15" x14ac:dyDescent="0.15">
      <c r="A74" s="12"/>
      <c r="B74" s="25">
        <v>1</v>
      </c>
      <c r="C74" s="25" t="s">
        <v>581</v>
      </c>
      <c r="D74" s="13"/>
      <c r="E74" s="13"/>
      <c r="F74" s="13"/>
      <c r="G74" s="14"/>
      <c r="H74" s="13"/>
      <c r="I74" s="25" t="s">
        <v>8</v>
      </c>
      <c r="J74" s="13"/>
      <c r="K74" s="28">
        <v>1.37E-2</v>
      </c>
      <c r="L74" s="30" t="s">
        <v>8</v>
      </c>
      <c r="M74" s="380">
        <v>63</v>
      </c>
      <c r="N74" s="73" t="str">
        <f t="shared" si="0"/>
        <v>ロシア・ルーブル (RUB)</v>
      </c>
      <c r="O74" s="75">
        <f t="shared" si="1"/>
        <v>1.5618000000000001</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878</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28" workbookViewId="0">
      <selection activeCell="L46" sqref="L46:V49"/>
    </sheetView>
  </sheetViews>
  <sheetFormatPr defaultRowHeight="13.5" x14ac:dyDescent="0.15"/>
  <cols>
    <col min="1" max="1" width="19.375" bestFit="1" customWidth="1"/>
    <col min="2" max="2" width="14.375" customWidth="1"/>
    <col min="3" max="3" width="12.75" customWidth="1"/>
    <col min="4" max="4" width="12.375" bestFit="1" customWidth="1"/>
  </cols>
  <sheetData>
    <row r="1" spans="1:10" x14ac:dyDescent="0.15">
      <c r="A1" s="400"/>
      <c r="B1" s="401" t="s">
        <v>284</v>
      </c>
      <c r="C1" s="401" t="s">
        <v>38</v>
      </c>
      <c r="D1" s="401" t="str">
        <f>IF(AND(海外居住者のための収入等申告書!D32="はい",海外居住者のための収入等申告書!D33="いいえ"),"生計１の配偶者","生計維持者２")</f>
        <v>生計維持者２</v>
      </c>
      <c r="E1" s="153"/>
      <c r="F1" s="153" t="s">
        <v>39</v>
      </c>
      <c r="G1" s="153"/>
    </row>
    <row r="2" spans="1:10" x14ac:dyDescent="0.15">
      <c r="A2" s="401" t="s">
        <v>414</v>
      </c>
      <c r="B2" s="394">
        <f>DATEDIF(海外居住者のための収入等申告書!D19,計算シート!$C$46,"y")</f>
        <v>122</v>
      </c>
      <c r="C2" s="394">
        <f>DATEDIF(海外居住者のための収入等申告書!D31,計算シート!$C$46,"y")</f>
        <v>122</v>
      </c>
      <c r="D2" s="394">
        <f>DATEDIF(海外居住者のための収入等申告書!H31,計算シート!$C$46,"y")</f>
        <v>122</v>
      </c>
      <c r="E2" s="153"/>
      <c r="F2" s="153"/>
      <c r="G2" s="153"/>
    </row>
    <row r="3" spans="1:10" x14ac:dyDescent="0.15">
      <c r="A3" s="401" t="s">
        <v>169</v>
      </c>
      <c r="B3" s="395">
        <f>海外居住者のための収入等申告書!D25*VLOOKUP(海外居住者のための収入等申告書!D24,IF($C$49=1,前年レート!$N$12:$O$74,IF($C$49=2,当年レート!$N$12:$O$74,"")),2,0)</f>
        <v>0</v>
      </c>
      <c r="C3" s="395">
        <f>海外居住者のための収入等申告書!D40*VLOOKUP(海外居住者のための収入等申告書!D39,IF($C$49=1,前年レート!$N$12:$O$74,IF($C$49=2,当年レート!$N$12:$O$74,"")),2,0)</f>
        <v>0</v>
      </c>
      <c r="D3" s="395">
        <f>IF(VLOOKUP(海外居住者のための収入等申告書!$D$32,計算シート!$F$3:$G$10,2,0)=1,海外居住者のための収入等申告書!H40*VLOOKUP(海外居住者のための収入等申告書!H39,IF($C$49=1,前年レート!$N$12:$O$74,IF($C$49=2,当年レート!$N$12:$O$74,"")),2,0),0)</f>
        <v>0</v>
      </c>
      <c r="E3" s="153"/>
      <c r="F3" s="56" t="s">
        <v>41</v>
      </c>
      <c r="G3" s="56">
        <v>1</v>
      </c>
    </row>
    <row r="4" spans="1:10" x14ac:dyDescent="0.15">
      <c r="A4" s="401" t="s">
        <v>16</v>
      </c>
      <c r="B4" s="39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$26,B3*0.9-1200000+IF(C50=1,100000,0),B3-2200000+IF(C50=1,250000,0))))))))))),0)</f>
        <v>0</v>
      </c>
      <c r="C4" s="39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$26,C3*0.9-1200000+IF(C50=1,100000,0),C3-2200000+IF(C50=1,250000,0)))))))))))-C51,0)</f>
        <v>0</v>
      </c>
      <c r="D4" s="39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$26,D3*0.9-1200000+IF(C50=1,100000,0),D3-2200000+IF(C50=1,250000,0)))))))))))-D51,0)</f>
        <v>0</v>
      </c>
      <c r="E4" s="153"/>
      <c r="F4" s="56" t="s">
        <v>43</v>
      </c>
      <c r="G4" s="56">
        <v>2</v>
      </c>
    </row>
    <row r="5" spans="1:10" x14ac:dyDescent="0.15">
      <c r="A5" s="401" t="s">
        <v>270</v>
      </c>
      <c r="B5" s="395">
        <v>0</v>
      </c>
      <c r="C5" s="395">
        <f>海外居住者のための収入等申告書!D42*VLOOKUP(海外居住者のための収入等申告書!D41,IF($C$49=1,前年レート!$N$12:$O$74,IF($C$49=2,当年レート!$N$12:$O$74,"")),2,0)</f>
        <v>0</v>
      </c>
      <c r="D5" s="395">
        <f>IF(VLOOKUP(海外居住者のための収入等申告書!$D$32,計算シート!$F$3:$G$10,2,0)=1,海外居住者のための収入等申告書!H42*VLOOKUP(海外居住者のための収入等申告書!H41,IF($C$49=1,前年レート!$N$12:$O$74,IF($C$49=2,当年レート!$N$12:$O$74,"")),2,0),0)</f>
        <v>0</v>
      </c>
      <c r="E5" s="153"/>
      <c r="F5" s="56" t="s">
        <v>44</v>
      </c>
      <c r="G5" s="56">
        <v>3</v>
      </c>
    </row>
    <row r="6" spans="1:10" x14ac:dyDescent="0.15">
      <c r="A6" s="401" t="s">
        <v>269</v>
      </c>
      <c r="B6" s="395">
        <v>0</v>
      </c>
      <c r="C6" s="395">
        <f>MAX(IF(IF(海外居住者のための収入等申告書!D31&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海外居住者のための収入等申告書!D31&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95">
        <f>MAX(IF(IF(海外居住者のための収入等申告書!H31&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海外居住者のための収入等申告書!E31&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3"/>
      <c r="F6" s="56" t="s">
        <v>45</v>
      </c>
      <c r="G6" s="56">
        <v>4</v>
      </c>
    </row>
    <row r="7" spans="1:10" x14ac:dyDescent="0.15">
      <c r="A7" s="401" t="s">
        <v>271</v>
      </c>
      <c r="B7" s="395">
        <f>海外居住者のための収入等申告書!D27*VLOOKUP(海外居住者のための収入等申告書!D26,IF($C$49=1,前年レート!$N$12:$O$74,IF($C$49=2,当年レート!$N$12:$O$74,"")),2,0)</f>
        <v>0</v>
      </c>
      <c r="C7" s="395">
        <f>海外居住者のための収入等申告書!D44*VLOOKUP(海外居住者のための収入等申告書!D43,IF($C$49=1,前年レート!$N$12:$O$74,IF($C$49=2,当年レート!$N$12:$O$74,"")),2,0)</f>
        <v>0</v>
      </c>
      <c r="D7" s="395">
        <f>IF(VLOOKUP(海外居住者のための収入等申告書!$D$33,計算シート!$F$3:$G$10,2,0)=1,海外居住者のための収入等申告書!H44*VLOOKUP(海外居住者のための収入等申告書!H43,IF($C$49=1,前年レート!$N$12:$O$74,IF($C$49=2,当年レート!$N$12:$O$74,"")),2,0),0)</f>
        <v>0</v>
      </c>
      <c r="E7" s="153"/>
      <c r="F7" s="56" t="s">
        <v>266</v>
      </c>
      <c r="G7" s="56">
        <v>5</v>
      </c>
    </row>
    <row r="8" spans="1:10" x14ac:dyDescent="0.15">
      <c r="A8" s="401" t="s">
        <v>17</v>
      </c>
      <c r="B8" s="395">
        <f>IF(VLOOKUP(海外居住者のための収入等申告書!D23,計算シート!F3:G4,2,0)=1,SUM(B4,B6,B7),0)</f>
        <v>0</v>
      </c>
      <c r="C8" s="395">
        <f>MAX(SUM(C4,C6,C7,C52),0)</f>
        <v>0</v>
      </c>
      <c r="D8" s="395">
        <f>MAX(SUM(D4,D6,D7,D52),0)</f>
        <v>0</v>
      </c>
      <c r="E8" s="153"/>
      <c r="F8" s="56" t="str">
        <f>IF(C50=0,"寡婦（夫）でない","ひとり親でない")</f>
        <v>ひとり親でない</v>
      </c>
      <c r="G8" s="56">
        <v>6</v>
      </c>
    </row>
    <row r="9" spans="1:10" x14ac:dyDescent="0.15">
      <c r="A9" s="401" t="s">
        <v>313</v>
      </c>
      <c r="B9" s="394">
        <v>0</v>
      </c>
      <c r="C9" s="394">
        <f>IF(VLOOKUP(海外居住者のための収入等申告書!$D$32,$F$3:$G$13,2,0)=1,1,0)</f>
        <v>1</v>
      </c>
      <c r="D9" s="394">
        <f>C9</f>
        <v>1</v>
      </c>
      <c r="E9" s="153"/>
      <c r="F9" s="56" t="str">
        <f>IF(C50=0,"寡婦である","ひとり親である")</f>
        <v>ひとり親である</v>
      </c>
      <c r="G9" s="56">
        <v>7</v>
      </c>
      <c r="J9" t="s">
        <v>647</v>
      </c>
    </row>
    <row r="10" spans="1:10" x14ac:dyDescent="0.15">
      <c r="A10" s="401" t="s">
        <v>168</v>
      </c>
      <c r="B10" s="396" t="s">
        <v>285</v>
      </c>
      <c r="C10" s="39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96" t="str">
        <f>IF(VLOOKUP(海外居住者のための収入等申告書!D32,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3"/>
      <c r="F10" s="56" t="str">
        <f>IF(C50=0,"寡夫である","")</f>
        <v/>
      </c>
      <c r="G10" s="56">
        <v>8</v>
      </c>
      <c r="J10" t="s">
        <v>643</v>
      </c>
    </row>
    <row r="11" spans="1:10" x14ac:dyDescent="0.15">
      <c r="A11" s="401" t="s">
        <v>265</v>
      </c>
      <c r="B11" s="395">
        <v>0</v>
      </c>
      <c r="C11" s="395">
        <f>IF(C10="A",IF(D10="e",IF(海外居住者のための収入等申告書!H31&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海外居住者のための収入等申告書!H31&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海外居住者のための収入等申告書!H31&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330000</v>
      </c>
      <c r="D11" s="395">
        <f>IF(D10="A",IF(C10="e",IF(海外居住者のための収入等申告書!D31&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海外居住者のための収入等申告書!D31&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H31&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3"/>
      <c r="F11" s="92" t="s">
        <v>278</v>
      </c>
      <c r="G11" s="92">
        <v>9</v>
      </c>
      <c r="J11" t="s">
        <v>644</v>
      </c>
    </row>
    <row r="12" spans="1:10" x14ac:dyDescent="0.15">
      <c r="A12" s="401" t="s">
        <v>18</v>
      </c>
      <c r="B12" s="395">
        <v>0</v>
      </c>
      <c r="C12" s="395">
        <f>SUM(海外居住者のための収入等申告書!D48,海外居住者のための収入等申告書!D50,C36)*T13人的控除!$B$39</f>
        <v>0</v>
      </c>
      <c r="D12" s="395">
        <f>SUM(海外居住者のための収入等申告書!H48,海外居住者のための収入等申告書!H50,D36)*T13人的控除!$B$39</f>
        <v>0</v>
      </c>
      <c r="E12" s="153"/>
      <c r="F12" s="56" t="s">
        <v>279</v>
      </c>
      <c r="G12" s="56">
        <v>10</v>
      </c>
      <c r="J12" t="s">
        <v>645</v>
      </c>
    </row>
    <row r="13" spans="1:10" x14ac:dyDescent="0.15">
      <c r="A13" s="401" t="s">
        <v>19</v>
      </c>
      <c r="B13" s="395">
        <v>0</v>
      </c>
      <c r="C13" s="395">
        <f>SUM(C37,海外居住者のための収入等申告書!D49)*T13人的控除!$B$40</f>
        <v>0</v>
      </c>
      <c r="D13" s="395">
        <f>SUM(海外居住者のための収入等申告書!H49,D37)*T13人的控除!$B$40</f>
        <v>0</v>
      </c>
      <c r="E13" s="153"/>
      <c r="F13" s="56" t="s">
        <v>291</v>
      </c>
      <c r="G13" s="56">
        <v>11</v>
      </c>
      <c r="J13" t="s">
        <v>642</v>
      </c>
    </row>
    <row r="14" spans="1:10" x14ac:dyDescent="0.15">
      <c r="A14" s="401" t="s">
        <v>20</v>
      </c>
      <c r="B14" s="395">
        <v>0</v>
      </c>
      <c r="C14" s="395">
        <f>海外居住者のための収入等申告書!D52*T13人的控除!$B$41</f>
        <v>0</v>
      </c>
      <c r="D14" s="395">
        <f>海外居住者のための収入等申告書!H52*T13人的控除!$B$41</f>
        <v>0</v>
      </c>
      <c r="E14" s="153"/>
      <c r="F14" s="153"/>
      <c r="G14" s="153"/>
      <c r="J14" t="s">
        <v>646</v>
      </c>
    </row>
    <row r="15" spans="1:10" x14ac:dyDescent="0.15">
      <c r="A15" s="401" t="s">
        <v>21</v>
      </c>
      <c r="B15" s="395">
        <v>0</v>
      </c>
      <c r="C15" s="395">
        <f>海外居住者のための収入等申告書!D51*T13人的控除!$B$42</f>
        <v>0</v>
      </c>
      <c r="D15" s="395">
        <f>海外居住者のための収入等申告書!H51*T13人的控除!$B$42</f>
        <v>0</v>
      </c>
      <c r="E15" s="153"/>
      <c r="F15" s="56" t="s">
        <v>405</v>
      </c>
      <c r="G15" s="56">
        <v>1</v>
      </c>
    </row>
    <row r="16" spans="1:10" x14ac:dyDescent="0.15">
      <c r="A16" s="401" t="s">
        <v>22</v>
      </c>
      <c r="B16" s="395">
        <f>IF(VLOOKUP(海外居住者のための収入等申告書!D21,計算シート!$F$3:$G$10,2,0)=4,1,0)*T13人的控除!$B$44</f>
        <v>0</v>
      </c>
      <c r="C16" s="395">
        <f>SUM(海外居住者のための収入等申告書!D53,C38,IF(VLOOKUP(海外居住者のための収入等申告書!$D$35,計算シート!$F$3:$G$10,2,0)=4,1,0),IF(AND(D10="e",VLOOKUP(海外居住者のための収入等申告書!$H$35,計算シート!$F$3:$G$10,2,0)=4),1,0))*T13人的控除!$B$44</f>
        <v>0</v>
      </c>
      <c r="D16" s="395">
        <f>SUM(海外居住者のための収入等申告書!H53,D38,IF(VLOOKUP(海外居住者のための収入等申告書!$H$35,計算シート!$F$3:$G$10,2,0)=4,1,0),IF(AND(C10="e",VLOOKUP(海外居住者のための収入等申告書!$D$35,計算シート!$F$3:$G$10,2,0)=4),1,0))*T13人的控除!$B$44</f>
        <v>0</v>
      </c>
      <c r="E16" s="153"/>
      <c r="F16" s="56" t="s">
        <v>403</v>
      </c>
      <c r="G16" s="56">
        <v>2</v>
      </c>
    </row>
    <row r="17" spans="1:7" x14ac:dyDescent="0.15">
      <c r="A17" s="401" t="s">
        <v>23</v>
      </c>
      <c r="B17" s="395">
        <f>IF(VLOOKUP(海外居住者のための収入等申告書!D21,計算シート!$F$3:$G$10,2,0)=5,1,0)*T13人的控除!$B$45</f>
        <v>0</v>
      </c>
      <c r="C17" s="395">
        <f>SUM(海外居住者のための収入等申告書!D54,C39,IF(VLOOKUP(海外居住者のための収入等申告書!$D$35,計算シート!$F$3:$G$10,2,0)=5,1,0),IF(AND($D$10="e",VLOOKUP(海外居住者のための収入等申告書!$D$34,計算シート!$F$3:$G$10,2,0)=2,VLOOKUP(海外居住者のための収入等申告書!$H$35,計算シート!$F$3:$G$10,2,0)=5),1,0))*T13人的控除!B45</f>
        <v>0</v>
      </c>
      <c r="D17" s="395">
        <f>SUM(海外居住者のための収入等申告書!H54,D39,IF(VLOOKUP(海外居住者のための収入等申告書!H35,計算シート!$F$3:$G$10,2,0)=5,1,0),IF(AND(C10="e",VLOOKUP(海外居住者のための収入等申告書!$D$34,計算シート!$F$3:$G$10,2,0)=2,VLOOKUP(海外居住者のための収入等申告書!$D$35,計算シート!$F$3:$G$10,2,0)=5),1,0))*T13人的控除!B45</f>
        <v>0</v>
      </c>
      <c r="E17" s="153"/>
      <c r="F17" s="56" t="s">
        <v>404</v>
      </c>
      <c r="G17" s="56">
        <v>3</v>
      </c>
    </row>
    <row r="18" spans="1:7" x14ac:dyDescent="0.15">
      <c r="A18" s="401" t="s">
        <v>24</v>
      </c>
      <c r="B18" s="395">
        <v>0</v>
      </c>
      <c r="C18" s="395">
        <f>SUM(海外居住者のための収入等申告書!D55,C40,IF(AND($D$10="e",VLOOKUP(海外居住者のための収入等申告書!$D$34,計算シート!$F$3:$G$10,2,0)=1,VLOOKUP(海外居住者のための収入等申告書!$H$35,計算シート!$F$3:$G$10,2,0)=5),1,0))*T13人的控除!B46</f>
        <v>0</v>
      </c>
      <c r="D18" s="395">
        <f>SUM(海外居住者のための収入等申告書!H55,D40,IF(AND($C$10="e",VLOOKUP(海外居住者のための収入等申告書!$D$34,計算シート!$F$3:$G$10,2,0)=1,VLOOKUP(海外居住者のための収入等申告書!$D$35,計算シート!$F$3:$G$10,2,0)=5),1,0))*T13人的控除!B46</f>
        <v>0</v>
      </c>
      <c r="E18" s="153"/>
      <c r="F18" s="56" t="s">
        <v>409</v>
      </c>
      <c r="G18" s="56">
        <v>4</v>
      </c>
    </row>
    <row r="19" spans="1:7" x14ac:dyDescent="0.15">
      <c r="A19" s="402" t="s">
        <v>385</v>
      </c>
      <c r="B19" s="395">
        <f>IF(AND(B8&lt;=T13人的控除!B57,SUM(計算シート!B6:B7)&lt;=100000),T13人的控除!B50,0)</f>
        <v>260000</v>
      </c>
      <c r="C19" s="395">
        <f>IFERROR(IF(海外居住者のための収入等申告書!D32="はい",0,IF(C20=0,IF(VLOOKUP(海外居住者のための収入等申告書!D36,計算シート!$F$3:$G$10,2,0)=7,T13人的控除!$B$47,0),0)),0)</f>
        <v>0</v>
      </c>
      <c r="D19" s="395">
        <v>0</v>
      </c>
      <c r="E19" s="153"/>
      <c r="F19" s="56"/>
      <c r="G19" s="56"/>
    </row>
    <row r="20" spans="1:7" x14ac:dyDescent="0.15">
      <c r="A20" s="401" t="s">
        <v>26</v>
      </c>
      <c r="B20" s="395">
        <v>0</v>
      </c>
      <c r="C20" s="395">
        <f>IFERROR(IF(海外居住者のための収入等申告書!D32="はい",0,IF(AND(VLOOKUP(海外居住者のための収入等申告書!D36,計算シート!$F$3:$G$10,2,0)=7,C8&lt;=T13人的控除!$B$54,SUM(海外居住者のための収入等申告書!D47:D49)&gt;0),T13人的控除!$B$48,0)),0)</f>
        <v>0</v>
      </c>
      <c r="D20" s="395">
        <v>0</v>
      </c>
      <c r="E20" s="153"/>
      <c r="F20" s="153"/>
      <c r="G20" s="153"/>
    </row>
    <row r="21" spans="1:7" x14ac:dyDescent="0.15">
      <c r="A21" s="401" t="s">
        <v>27</v>
      </c>
      <c r="B21" s="395">
        <v>0</v>
      </c>
      <c r="C21" s="395">
        <f>IFERROR(IF(海外居住者のための収入等申告書!D32="はい",0,IF(AND(VLOOKUP(海外居住者のための収入等申告書!D36,計算シート!$F$3:$G$10,2,0)=8,C8&lt;=T13人的控除!$B$54),T13人的控除!$B$49,0)),0)</f>
        <v>0</v>
      </c>
      <c r="D21" s="395">
        <v>0</v>
      </c>
      <c r="E21" s="153"/>
      <c r="F21" s="153"/>
      <c r="G21" s="153"/>
    </row>
    <row r="22" spans="1:7" x14ac:dyDescent="0.15">
      <c r="A22" s="401" t="s">
        <v>31</v>
      </c>
      <c r="B22" s="395">
        <f>T13人的控除!$B$2+IF(C50=1,100000,0)</f>
        <v>430000</v>
      </c>
      <c r="C22" s="395">
        <f>T13人的控除!$B$2+IF(C50=1,100000,0)</f>
        <v>430000</v>
      </c>
      <c r="D22" s="395">
        <f>T13人的控除!B2+IF(C50=1,100000,0)</f>
        <v>430000</v>
      </c>
      <c r="E22" s="153"/>
      <c r="F22" s="153"/>
      <c r="G22" s="153"/>
    </row>
    <row r="23" spans="1:7" x14ac:dyDescent="0.15">
      <c r="A23" s="401" t="s">
        <v>28</v>
      </c>
      <c r="B23" s="395">
        <v>0</v>
      </c>
      <c r="C23" s="395">
        <f>SUM(海外居住者のための収入等申告書!D47:D52,C35:C37,IF(D10="e",1,0))</f>
        <v>2</v>
      </c>
      <c r="D23" s="395">
        <f>SUM(海外居住者のための収入等申告書!H47:H52,D35:D37,IF(C10="e",1,0))</f>
        <v>0</v>
      </c>
      <c r="E23" s="153"/>
      <c r="F23" s="153"/>
      <c r="G23" s="153"/>
    </row>
    <row r="24" spans="1:7" x14ac:dyDescent="0.15">
      <c r="A24" s="401" t="s">
        <v>29</v>
      </c>
      <c r="B24" s="395">
        <f>SUM(B3,B5,B7)*0.15</f>
        <v>0</v>
      </c>
      <c r="C24" s="395">
        <f>SUM(C3,C5,C7)*0.15</f>
        <v>0</v>
      </c>
      <c r="D24" s="395">
        <f>SUM(D3,D5,D7)*0.15</f>
        <v>0</v>
      </c>
      <c r="E24" s="153"/>
      <c r="F24" s="153"/>
      <c r="G24" s="153"/>
    </row>
    <row r="25" spans="1:7" x14ac:dyDescent="0.15">
      <c r="A25" s="401" t="s">
        <v>32</v>
      </c>
      <c r="B25" s="395">
        <f>T13人的控除!$B$51+IF(C50=1,100000,0)</f>
        <v>450000</v>
      </c>
      <c r="C25" s="395">
        <f>T13人的控除!$B$51*SUM(1,C23)+IF(SUM(C23)&gt;0,T13人的控除!$B$52,0)+IF(C50=1,100000,0)</f>
        <v>1470000</v>
      </c>
      <c r="D25" s="395">
        <f>T13人的控除!$B$51*SUM(1,D23)+IF(SUM(D23)&gt;0,T13人的控除!$B$52,0)+IF(C50=1,100000,0)</f>
        <v>450000</v>
      </c>
      <c r="E25" s="153"/>
      <c r="F25" s="153"/>
      <c r="G25" s="153"/>
    </row>
    <row r="26" spans="1:7" x14ac:dyDescent="0.15">
      <c r="A26" s="401" t="s">
        <v>33</v>
      </c>
      <c r="B26" s="395">
        <f>IF(OR(VLOOKUP(海外居住者のための収入等申告書!D21,計算シート!$F$3:$G$10,2,0)&gt;3,B2&lt;20),T13人的控除!$B$53+IF(C50=1,100000,0),0)</f>
        <v>0</v>
      </c>
      <c r="C26" s="395">
        <f>IF(OR(SUM(C19:C21)&gt;0,VLOOKUP(海外居住者のための収入等申告書!$D$35,計算シート!$F$3:$G$10,2,0)&gt;3,C2&lt;20),T13人的控除!$B$53+IF(C50=1,100000,0),0)</f>
        <v>0</v>
      </c>
      <c r="D26" s="395">
        <f>IF(OR(SUM(D19:D21)&gt;0,VLOOKUP(海外居住者のための収入等申告書!$D$35,計算シート!$F$3:$G$10,2,0)&gt;3,D2&lt;20),T13人的控除!$B$53+IF(C50=1,100000,0),0)</f>
        <v>0</v>
      </c>
      <c r="E26" s="153"/>
      <c r="F26" s="153"/>
      <c r="G26" s="153"/>
    </row>
    <row r="27" spans="1:7" x14ac:dyDescent="0.15">
      <c r="A27" s="401" t="s">
        <v>267</v>
      </c>
      <c r="B27" s="395">
        <f>SUM(B11:B22,B24)</f>
        <v>690000</v>
      </c>
      <c r="C27" s="395">
        <f>SUM(C11:C22,C24)</f>
        <v>760000</v>
      </c>
      <c r="D27" s="395">
        <f>SUM(D11:D22,D24)</f>
        <v>430000</v>
      </c>
      <c r="E27" s="153"/>
      <c r="F27" s="153"/>
      <c r="G27" s="153"/>
    </row>
    <row r="28" spans="1:7" x14ac:dyDescent="0.15">
      <c r="A28" s="401" t="s">
        <v>30</v>
      </c>
      <c r="B28" s="395">
        <f>IF(B8-B27&lt;0,0,ROUNDDOWN(B8-B27,-3))</f>
        <v>0</v>
      </c>
      <c r="C28" s="395">
        <f>IF(C8-C27&lt;0,0,ROUNDDOWN(C8-C27,-3))</f>
        <v>0</v>
      </c>
      <c r="D28" s="395">
        <f>IF(D8-D27&lt;0,0,ROUNDDOWN(D8-D27,-3))</f>
        <v>0</v>
      </c>
      <c r="E28" s="153"/>
      <c r="F28" s="153"/>
      <c r="G28" s="153"/>
    </row>
    <row r="29" spans="1:7" x14ac:dyDescent="0.15">
      <c r="A29" s="401" t="s">
        <v>34</v>
      </c>
      <c r="B29" s="395">
        <f>B28*T16税率等!$B$2/100</f>
        <v>0</v>
      </c>
      <c r="C29" s="395">
        <f>C28*T16税率等!$B$2/100</f>
        <v>0</v>
      </c>
      <c r="D29" s="395">
        <f>D28*T16税率等!$B$2/100</f>
        <v>0</v>
      </c>
      <c r="E29" s="153"/>
      <c r="F29" s="153"/>
      <c r="G29" s="153"/>
    </row>
    <row r="30" spans="1:7" x14ac:dyDescent="0.15">
      <c r="A30" s="401" t="s">
        <v>268</v>
      </c>
      <c r="B30" s="395">
        <v>0</v>
      </c>
      <c r="C30" s="395">
        <f>IF(C10="A",IF(D10="e",IF(海外居住者のための収入等申告書!H31&gt;=70,T13人的控除!$B$6,T15調整控除!$B$3),IF(D10="f",T15調整控除!$B$9,IF(D10="g",T15調整控除!$B$10,IF(D10="h",T15調整控除!$B$11,IF(D10="i",T15調整控除!$B$12,IF(D10="j",T15調整控除!$B$13,IF(D10="k",T15調整控除!$B$14,IF(D10="l",T15調整控除!$B$15,IF(D10="m",T15調整控除!$B$16,IF(D10="n",T15調整控除!$B$17,IF(D10="o",T15調整控除!$B$18,0))))))))))),IF(C10="B",IF(D10="e",IF(海外居住者のための収入等申告書!H31&gt;=70,T13人的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海外居住者のための収入等申告書!H31&gt;=70,T13人的控除!$B$8,T15調整控除!$B$5),IF(D10="f",T15調整控除!$B$29,IF(D10="g",T15調整控除!$B$30,IF(D10="h",T15調整控除!$B$31,IF(D10="i",T15調整控除!$B$32,IF(D10="j",T15調整控除!$B$33,IF(D10="k",T15調整控除!$B$34,IF(D10="l",T15調整控除!$B$35,IF(D10="m",T15調整控除!$B$36,IF(D10="n",T15調整控除!$B$37,IF(D10="o",T15調整控除!$B$38,0))))))))))),0)))</f>
        <v>50000</v>
      </c>
      <c r="D30" s="395">
        <f>IF(D10="A",IF(C10="e",IF(海外居住者のための収入等申告書!D31&gt;=70,T13人的控除!$B$6,T15調整控除!$B$3),IF(C10="f",T15調整控除!$B$9,IF(C10="g",T15調整控除!$B$10,IF(C10="h",T15調整控除!$B$11,IF(C10="i",T15調整控除!$B$12,IF(C10="j",T15調整控除!$B$13,IF(C10="k",T15調整控除!$B$14,IF(C10="l",T15調整控除!$B$15,IF(C10="m",T15調整控除!$B$16,IF(C10="n",T15調整控除!$B$17,IF(C10="o",T15調整控除!$B$18,0))))))))))),IF(D10="B",IF(C10="e",IF(海外居住者のための収入等申告書!H31&gt;=70,T13人的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海外居住者のための収入等申告書!D31&gt;=70,T13人的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3"/>
      <c r="F30" s="153"/>
      <c r="G30" s="153"/>
    </row>
    <row r="31" spans="1:7" x14ac:dyDescent="0.15">
      <c r="A31" s="401" t="s">
        <v>35</v>
      </c>
      <c r="B31" s="39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9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100000</v>
      </c>
      <c r="D31" s="39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3"/>
      <c r="F31" s="153"/>
      <c r="G31" s="153"/>
    </row>
    <row r="32" spans="1:7" x14ac:dyDescent="0.15">
      <c r="A32" s="401" t="s">
        <v>36</v>
      </c>
      <c r="B32" s="395">
        <f>ROUNDDOWN(IF(B28&lt;=T15調整控除!$B$51,IF((MIN(B31,B28))&lt;0,0,MIN(B31,B28))*T15調整控除!$B$52/100,IF((B31-(B28-T15調整控除!$B$51))*T15調整控除!$B$52/100&lt;T15調整控除!$B$53,T15調整控除!$B$53,(B31-(B28-T15調整控除!$B$51))*T15調整控除!$B$52/100)),0)</f>
        <v>0</v>
      </c>
      <c r="C32" s="395">
        <f>ROUNDDOWN(IF(C28&lt;=T15調整控除!$B$51,IF((MIN(C31,C28))&lt;0,0,MIN(C31,C28))*T15調整控除!$B$52/100,IF((C31-(C28-T15調整控除!$B$51))*T15調整控除!$B$52/100&lt;T15調整控除!$B$53,T15調整控除!$B$53,(C31-(C28-T15調整控除!$B$51))*T15調整控除!$B$52/100)),0)</f>
        <v>0</v>
      </c>
      <c r="D32" s="395">
        <f>ROUNDDOWN(IF(D28&lt;=T15調整控除!$B$51,IF((MIN(D31,D28))&lt;0,0,MIN(D31,D28))*T15調整控除!$B$52/100,IF((D31-(D28-T15調整控除!$B$51))*T15調整控除!$B$52/100&lt;T15調整控除!$B$53,T15調整控除!$B$53,(D31-(D28-T15調整控除!$B$51))*T15調整控除!$B$52/100)),0)</f>
        <v>0</v>
      </c>
      <c r="E32" s="153"/>
      <c r="F32" s="153"/>
      <c r="G32" s="153"/>
    </row>
    <row r="33" spans="1:7" x14ac:dyDescent="0.15">
      <c r="A33" s="401" t="s">
        <v>37</v>
      </c>
      <c r="B33" s="395">
        <f>IF((((B25-B8)*T16税率等!$B$2/10)+ROUNDDOWN(B29-B32,-2))&lt;0,0,(((B25-B8)*T16税率等!$B$2/10)+ROUNDDOWN(B29-B32,-2)))</f>
        <v>270000</v>
      </c>
      <c r="C33" s="395">
        <f>IF((((C25-C8)*T16税率等!$B$2/10)+ROUNDDOWN(C29-C32,-2))&lt;0,0,(((C25-C8)*T16税率等!$B$2/10)+ROUNDDOWN(C29-C32,-2)))</f>
        <v>882000</v>
      </c>
      <c r="D33" s="395">
        <f>IF((((D25-D8)*T16税率等!$B$2/10)+ROUNDDOWN(D29-D32,-2))&lt;0,0,(((D25-D8)*T16税率等!$B$2/10)+ROUNDDOWN(D29-D32,-2)))</f>
        <v>270000</v>
      </c>
      <c r="E33" s="153"/>
      <c r="F33" s="153"/>
      <c r="G33" s="153"/>
    </row>
    <row r="34" spans="1:7" x14ac:dyDescent="0.15">
      <c r="A34" s="401" t="s">
        <v>593</v>
      </c>
      <c r="B34" s="395">
        <f>IFERROR(IF(OR(B8&lt;=B26,B8&lt;=B25),0,ROUNDDOWN(IF(OR(B8&lt;=B25,B8&lt;=B25,B29-B32-B33&lt;0),0,B29-B32-B33),-2)),"エラー")</f>
        <v>0</v>
      </c>
      <c r="C34" s="395">
        <f>IFERROR(IF(OR(C8&lt;=C26,C8&lt;=C25),0,ROUNDDOWN(IF(OR(C8&lt;=C25,C8&lt;=C25,C29-C32-C33&lt;0),0,C29-C32-C33),-2)),"エラー")</f>
        <v>0</v>
      </c>
      <c r="D34" s="395">
        <f>IFERROR(IF(VLOOKUP(海外居住者のための収入等申告書!D33,計算シート!F3:G13,2,0)=2,0,IF(OR(D8&lt;=D26,D8&lt;=D25),0,ROUNDDOWN(IF(OR(D8&lt;=D25,D8&lt;=D25,D29-D32-D33&lt;0),0,D29-D32-D33),-2))),"エラー")</f>
        <v>0</v>
      </c>
      <c r="E34" s="153"/>
      <c r="F34" s="153"/>
      <c r="G34" s="153"/>
    </row>
    <row r="35" spans="1:7" x14ac:dyDescent="0.15">
      <c r="A35" s="403" t="s">
        <v>292</v>
      </c>
      <c r="B35" s="406"/>
      <c r="C35" s="395">
        <f>IF(VLOOKUP(海外居住者のための収入等申告書!$D$20,計算シート!$F$11:$G$13,2,0)=9,IF(AND(海外居住者のための収入等申告書!$D$19&lt;16,$B$8&lt;=T11所得区分!$B$5+IF(C50=1,100000,0)),1,0),0)</f>
        <v>1</v>
      </c>
      <c r="D35" s="395">
        <f>IF(VLOOKUP(海外居住者のための収入等申告書!$D$20,計算シート!$F$11:$G$13,2,0)=10,IF(AND(海外居住者のための収入等申告書!$D$19&lt;16,$B$8&lt;=T11所得区分!$B$5+IF(C50=1,100000,0)),1,0),0)</f>
        <v>0</v>
      </c>
      <c r="E35" s="153"/>
      <c r="F35" s="153"/>
      <c r="G35" s="153"/>
    </row>
    <row r="36" spans="1:7" x14ac:dyDescent="0.15">
      <c r="A36" s="403" t="s">
        <v>286</v>
      </c>
      <c r="B36" s="407"/>
      <c r="C36" s="397">
        <f>IF(VLOOKUP(海外居住者のための収入等申告書!$D$20,計算シート!$F$11:$G$13,2,0)=9,IF(AND(OR(AND(海外居住者のための収入等申告書!$D$19&gt;=16,海外居住者のための収入等申告書!$D$19&lt;=18),海外居住者のための収入等申告書!$D$19&gt;22),$B$8&lt;=T11所得区分!$B$5+IF(C50=1,100000,0)),1,0),0)</f>
        <v>0</v>
      </c>
      <c r="D36" s="397">
        <f>IF(VLOOKUP(海外居住者のための収入等申告書!$D$20,計算シート!$F$11:$G$13,2,0)=10,IF(AND(OR(AND(海外居住者のための収入等申告書!$D$19&gt;=16,海外居住者のための収入等申告書!$D$19&lt;=18),海外居住者のための収入等申告書!$D$19&gt;22),$B$8&lt;=T11所得区分!$B$5+IF(C50=1,100000,0)),1,0),0)</f>
        <v>0</v>
      </c>
      <c r="E36" s="153"/>
      <c r="F36" s="153"/>
      <c r="G36" s="153"/>
    </row>
    <row r="37" spans="1:7" x14ac:dyDescent="0.15">
      <c r="A37" s="403" t="s">
        <v>287</v>
      </c>
      <c r="B37" s="407"/>
      <c r="C37" s="397">
        <f>IF(VLOOKUP(海外居住者のための収入等申告書!$D$20,計算シート!$F$11:$G$13,2,0)=9,IF(AND(AND(海外居住者のための収入等申告書!$D$19&gt;=19,海外居住者のための収入等申告書!$D$19&lt;=22),$B$8&lt;=T11所得区分!$B$5+IF(C50=1,100000,0)),1,0),0)</f>
        <v>0</v>
      </c>
      <c r="D37" s="397">
        <f>IF(VLOOKUP(海外居住者のための収入等申告書!$D$20,計算シート!$F$11:$G$13,2,0)=10,IF(AND(AND(海外居住者のための収入等申告書!$D$19&gt;=19,海外居住者のための収入等申告書!$D$19&lt;=22),$B$8&lt;=T11所得区分!$B$5+IF(C50=1,100000,0)),1,0),0)</f>
        <v>0</v>
      </c>
      <c r="E37" s="153"/>
      <c r="F37" s="153"/>
      <c r="G37" s="153"/>
    </row>
    <row r="38" spans="1:7" x14ac:dyDescent="0.15">
      <c r="A38" s="403" t="s">
        <v>288</v>
      </c>
      <c r="B38" s="407"/>
      <c r="C38" s="394">
        <f>IF(AND(SUM(C35:C37)&gt;0,$B$16&gt;0),1,0)</f>
        <v>0</v>
      </c>
      <c r="D38" s="394">
        <f>IF(AND(SUM(D35:D37)&gt;0,$B$16&gt;0),1,0)</f>
        <v>0</v>
      </c>
      <c r="E38" s="153"/>
      <c r="F38" s="153"/>
      <c r="G38" s="153"/>
    </row>
    <row r="39" spans="1:7" x14ac:dyDescent="0.15">
      <c r="A39" s="403" t="s">
        <v>289</v>
      </c>
      <c r="B39" s="407"/>
      <c r="C39" s="394">
        <f>IF(AND(SUM(C35:C37)&gt;0,$B$17&gt;0,C40=0),1,0)</f>
        <v>0</v>
      </c>
      <c r="D39" s="394">
        <f>IF(AND(SUM(D35:D37)&gt;0,$B$17&gt;0,D40=0),1,0)</f>
        <v>0</v>
      </c>
      <c r="E39" s="153"/>
      <c r="F39" s="153"/>
      <c r="G39" s="153"/>
    </row>
    <row r="40" spans="1:7" x14ac:dyDescent="0.15">
      <c r="A40" s="403" t="s">
        <v>290</v>
      </c>
      <c r="B40" s="407"/>
      <c r="C40" s="394">
        <f>IF(AND(SUM(C35:C37)&gt;0,$B$17&gt;0,VLOOKUP(海外居住者のための収入等申告書!$D$22,計算シート!$F$3:$G$13,2,0)=1),1,0)</f>
        <v>0</v>
      </c>
      <c r="D40" s="394">
        <f>IF(AND(SUM(D35:D37)&gt;0,$B$17&gt;0,VLOOKUP(海外居住者のための収入等申告書!$D$22,計算シート!$F$3:$G$13,2,0)=1),1,0)</f>
        <v>0</v>
      </c>
      <c r="E40" s="153"/>
      <c r="F40" s="153"/>
      <c r="G40" s="153"/>
    </row>
    <row r="41" spans="1:7" x14ac:dyDescent="0.15">
      <c r="A41" s="403" t="s">
        <v>316</v>
      </c>
      <c r="B41" s="407"/>
      <c r="C41" s="395">
        <f>SUM(C3,C5)</f>
        <v>0</v>
      </c>
      <c r="D41" s="395">
        <f>SUM(D3,D5)</f>
        <v>0</v>
      </c>
      <c r="E41" s="153"/>
      <c r="F41" s="153"/>
      <c r="G41" s="153"/>
    </row>
    <row r="42" spans="1:7" x14ac:dyDescent="0.15">
      <c r="A42" s="403" t="s">
        <v>317</v>
      </c>
      <c r="B42" s="407"/>
      <c r="C42" s="395">
        <f>C7</f>
        <v>0</v>
      </c>
      <c r="D42" s="395">
        <f>D7</f>
        <v>0</v>
      </c>
      <c r="E42" s="153"/>
      <c r="F42" s="153"/>
      <c r="G42" s="153"/>
    </row>
    <row r="43" spans="1:7" x14ac:dyDescent="0.15">
      <c r="A43" s="403" t="s">
        <v>402</v>
      </c>
      <c r="B43" s="407"/>
      <c r="C43" s="394">
        <f>IFERROR(VLOOKUP(海外居住者のための収入等申告書!H10,計算シート!F15:G18,2,0),0)</f>
        <v>3</v>
      </c>
      <c r="D43" s="349"/>
      <c r="E43" s="153"/>
      <c r="F43" s="153"/>
      <c r="G43" s="153"/>
    </row>
    <row r="44" spans="1:7" x14ac:dyDescent="0.15">
      <c r="A44" s="403" t="s">
        <v>406</v>
      </c>
      <c r="B44" s="407"/>
      <c r="C44" s="394">
        <f>IF(海外居住者のための収入等申告書!D10=0,2020,海外居住者のための収入等申告書!D10)</f>
        <v>2022</v>
      </c>
      <c r="D44" s="349"/>
      <c r="E44" s="153"/>
      <c r="F44" s="153"/>
      <c r="G44" s="153"/>
    </row>
    <row r="45" spans="1:7" x14ac:dyDescent="0.15">
      <c r="A45" s="403" t="s">
        <v>411</v>
      </c>
      <c r="B45" s="407"/>
      <c r="C45" s="394">
        <f>IF(C43=2,0,1)</f>
        <v>1</v>
      </c>
      <c r="D45" s="349"/>
      <c r="E45" s="153"/>
      <c r="F45" s="153"/>
      <c r="G45" s="153"/>
    </row>
    <row r="46" spans="1:7" x14ac:dyDescent="0.15">
      <c r="A46" s="403" t="s">
        <v>408</v>
      </c>
      <c r="B46" s="407"/>
      <c r="C46" s="398">
        <f>IF(C45=0,DATE(C44-1,1,1),DATE(C44,1,1))</f>
        <v>44562</v>
      </c>
      <c r="D46" s="349"/>
      <c r="E46" s="153"/>
      <c r="F46" s="153"/>
      <c r="G46" s="153"/>
    </row>
    <row r="47" spans="1:7" x14ac:dyDescent="0.15">
      <c r="A47" s="403" t="s">
        <v>418</v>
      </c>
      <c r="B47" s="407"/>
      <c r="C47" s="399">
        <f>YEAR(前年レート!K3)</f>
        <v>2020</v>
      </c>
      <c r="D47" s="349"/>
      <c r="E47" s="153"/>
      <c r="F47" s="153"/>
      <c r="G47" s="153"/>
    </row>
    <row r="48" spans="1:7" x14ac:dyDescent="0.15">
      <c r="A48" s="403" t="s">
        <v>419</v>
      </c>
      <c r="B48" s="407"/>
      <c r="C48" s="399">
        <f>YEAR(当年レート!K3)</f>
        <v>2021</v>
      </c>
      <c r="D48" s="349"/>
      <c r="E48" s="153"/>
      <c r="F48" s="153"/>
      <c r="G48" s="153"/>
    </row>
    <row r="49" spans="1:7" x14ac:dyDescent="0.15">
      <c r="A49" s="403" t="s">
        <v>420</v>
      </c>
      <c r="B49" s="407"/>
      <c r="C49" s="394">
        <f>IF(YEAR(C46)-1=C47,1,IF(YEAR(C46)-1=C48,2,0))</f>
        <v>2</v>
      </c>
      <c r="D49" s="349"/>
      <c r="E49" s="153"/>
      <c r="F49" s="153"/>
      <c r="G49" s="153"/>
    </row>
    <row r="50" spans="1:7" x14ac:dyDescent="0.15">
      <c r="A50" s="404" t="s">
        <v>592</v>
      </c>
      <c r="B50" s="408"/>
      <c r="C50" s="51">
        <f>IF(C44&lt;=2020,0,IF(AND(C44=2020,C43=2),0,1))</f>
        <v>1</v>
      </c>
      <c r="D50" s="57"/>
    </row>
    <row r="51" spans="1:7" x14ac:dyDescent="0.15">
      <c r="A51" s="404" t="s">
        <v>616</v>
      </c>
      <c r="B51" s="408"/>
      <c r="C51" s="51">
        <f>IF($C$50=0,0,IF(AND(SUM(C12:C13,C35:C37,C39:C40)&gt;0,C3&gt;8500000),ROUNDUP((MAX(C3,T11所得区分!$B$78)-8500000)*0.1,0),0))</f>
        <v>0</v>
      </c>
      <c r="D51" s="51">
        <f>IF($C$50=0,0,IF(AND(SUM(D12:D13,D35:D37,D39:D40)&gt;0,D3&gt;8500000),ROUNDUP((MAX(D3,T11所得区分!$B$78)-8500000)*0.1,0),0))</f>
        <v>0</v>
      </c>
    </row>
    <row r="52" spans="1:7" x14ac:dyDescent="0.15">
      <c r="A52" s="405" t="s">
        <v>617</v>
      </c>
      <c r="B52" s="409"/>
      <c r="C52" s="51">
        <f>IF(AND($C$50=1,C4&gt;0,C6&gt;0,SUM(C4,C6)&gt;T11所得区分!$B$79),SUM(MAX(計算シート!C4,T11所得区分!$B$79),MAX(計算シート!C6,T11所得区分!$B$79),-MAX(計算シート!C6,T11所得区分!$B$79)),0)</f>
        <v>0</v>
      </c>
      <c r="D52" s="51">
        <f>IF(AND($C$50=1,D4&gt;0,D6&gt;0,SUM(D4,D6)&gt;T11所得区分!$B$79),SUM(MAX(計算シート!D4,T11所得区分!$B$79),MAX(計算シート!D6,T11所得区分!$B$79),-MAX(計算シート!D6,T11所得区分!$B$79)),0)</f>
        <v>0</v>
      </c>
    </row>
    <row r="53" spans="1:7" x14ac:dyDescent="0.15">
      <c r="A53" s="411" t="s">
        <v>648</v>
      </c>
      <c r="B53" s="412"/>
      <c r="C53" s="50">
        <f>IF(YEAR(C46)&gt;2021,1,0)</f>
        <v>1</v>
      </c>
    </row>
    <row r="54" spans="1:7" x14ac:dyDescent="0.15">
      <c r="A54" s="411" t="s">
        <v>649</v>
      </c>
      <c r="B54" s="412"/>
      <c r="C54" s="50">
        <f>DATEDIF(海外居住者のための収入等申告書!D19,C46-1,"y")</f>
        <v>121</v>
      </c>
    </row>
    <row r="55" spans="1:7" x14ac:dyDescent="0.15">
      <c r="A55" s="411" t="s">
        <v>393</v>
      </c>
      <c r="B55" s="412"/>
      <c r="C55" s="50">
        <f>IFERROR(VALUE(TEXT(MONTH(海外居住者のための収入等申告書!D19),"00")&amp;TEXT(DAY(海外居住者のための収入等申告書!D19),"00")),1000)</f>
        <v>100</v>
      </c>
    </row>
    <row r="56" spans="1:7" x14ac:dyDescent="0.15">
      <c r="A56" s="411" t="s">
        <v>650</v>
      </c>
      <c r="B56" s="412"/>
      <c r="C56" s="50">
        <f>IFERROR(IF(AND(C53=1,C54=18,C55&gt;101,C55&lt;=401),1,0),0)</f>
        <v>0</v>
      </c>
    </row>
    <row r="57" spans="1:7" x14ac:dyDescent="0.15">
      <c r="A57" s="411" t="s">
        <v>651</v>
      </c>
      <c r="B57" s="412"/>
      <c r="C57" s="50">
        <f>IF(AND(C56=1,SUM(C36)&gt;0,IF(SUM(D36)&gt;0,IF(C34&gt;=D34,1,0),1)&gt;0),7200,0)</f>
        <v>0</v>
      </c>
      <c r="D57" s="50">
        <f>IF(AND(C56=1,SUM(D36)&gt;0,IF(SUM(C36)&gt;0,IF(C34&lt;D34,1,0),1)&gt;0),7200,0)</f>
        <v>0</v>
      </c>
    </row>
    <row r="58" spans="1:7" x14ac:dyDescent="0.15">
      <c r="A58" s="411" t="s">
        <v>652</v>
      </c>
      <c r="B58" s="412"/>
      <c r="C58" s="410">
        <f>IFERROR(MAX(0,C34-C57),C34)</f>
        <v>0</v>
      </c>
      <c r="D58" s="410">
        <f>IFERROR(MAX(0,D34-D57),D34)</f>
        <v>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
  <sheetViews>
    <sheetView workbookViewId="0">
      <selection activeCell="L46" sqref="L46:V49"/>
    </sheetView>
  </sheetViews>
  <sheetFormatPr defaultRowHeight="13.5" x14ac:dyDescent="0.15"/>
  <cols>
    <col min="1" max="1" width="24.5" bestFit="1" customWidth="1"/>
  </cols>
  <sheetData>
    <row r="1" spans="1:148" x14ac:dyDescent="0.15">
      <c r="A1" s="413" t="s">
        <v>801</v>
      </c>
      <c r="B1" s="401" t="s">
        <v>654</v>
      </c>
      <c r="C1" s="401" t="s">
        <v>655</v>
      </c>
      <c r="D1" s="401" t="s">
        <v>656</v>
      </c>
      <c r="E1" s="401" t="s">
        <v>657</v>
      </c>
      <c r="F1" s="401" t="s">
        <v>658</v>
      </c>
      <c r="G1" s="401" t="s">
        <v>659</v>
      </c>
      <c r="H1" s="401" t="s">
        <v>660</v>
      </c>
      <c r="I1" s="401" t="s">
        <v>661</v>
      </c>
      <c r="J1" s="401" t="s">
        <v>662</v>
      </c>
      <c r="K1" s="401" t="s">
        <v>663</v>
      </c>
      <c r="L1" s="401" t="s">
        <v>664</v>
      </c>
      <c r="M1" s="401" t="s">
        <v>665</v>
      </c>
      <c r="N1" s="401" t="s">
        <v>666</v>
      </c>
      <c r="O1" s="401" t="s">
        <v>667</v>
      </c>
      <c r="P1" s="401" t="s">
        <v>668</v>
      </c>
      <c r="Q1" s="401" t="s">
        <v>669</v>
      </c>
      <c r="R1" s="401" t="s">
        <v>670</v>
      </c>
      <c r="S1" s="402" t="s">
        <v>671</v>
      </c>
      <c r="T1" s="401" t="s">
        <v>672</v>
      </c>
      <c r="U1" s="401" t="s">
        <v>673</v>
      </c>
      <c r="V1" s="401" t="s">
        <v>674</v>
      </c>
      <c r="W1" s="401" t="s">
        <v>675</v>
      </c>
      <c r="X1" s="401" t="s">
        <v>676</v>
      </c>
      <c r="Y1" s="401" t="s">
        <v>677</v>
      </c>
      <c r="Z1" s="401" t="s">
        <v>678</v>
      </c>
      <c r="AA1" s="401" t="s">
        <v>679</v>
      </c>
      <c r="AB1" s="401" t="s">
        <v>680</v>
      </c>
      <c r="AC1" s="401" t="s">
        <v>681</v>
      </c>
      <c r="AD1" s="401" t="s">
        <v>682</v>
      </c>
      <c r="AE1" s="401" t="s">
        <v>683</v>
      </c>
      <c r="AF1" s="401" t="s">
        <v>684</v>
      </c>
      <c r="AG1" s="401" t="s">
        <v>685</v>
      </c>
      <c r="AH1" s="401" t="s">
        <v>686</v>
      </c>
      <c r="AI1" s="401" t="s">
        <v>687</v>
      </c>
      <c r="AJ1" s="401" t="s">
        <v>688</v>
      </c>
      <c r="AK1" s="401" t="s">
        <v>689</v>
      </c>
      <c r="AL1" s="401" t="s">
        <v>690</v>
      </c>
      <c r="AM1" s="401" t="s">
        <v>691</v>
      </c>
      <c r="AN1" s="401" t="s">
        <v>692</v>
      </c>
      <c r="AO1" s="401" t="s">
        <v>693</v>
      </c>
      <c r="AP1" s="401" t="s">
        <v>694</v>
      </c>
      <c r="AQ1" s="401" t="s">
        <v>695</v>
      </c>
      <c r="AR1" s="401" t="s">
        <v>696</v>
      </c>
      <c r="AS1" s="401" t="s">
        <v>697</v>
      </c>
      <c r="AT1" s="401" t="s">
        <v>698</v>
      </c>
      <c r="AU1" s="401" t="s">
        <v>699</v>
      </c>
      <c r="AV1" s="401" t="s">
        <v>700</v>
      </c>
      <c r="AW1" s="401" t="s">
        <v>701</v>
      </c>
      <c r="AX1" s="401" t="s">
        <v>702</v>
      </c>
      <c r="AY1" s="401" t="s">
        <v>703</v>
      </c>
      <c r="AZ1" s="402" t="s">
        <v>704</v>
      </c>
      <c r="BA1" s="401" t="s">
        <v>705</v>
      </c>
      <c r="BB1" s="401" t="s">
        <v>706</v>
      </c>
      <c r="BC1" s="401" t="s">
        <v>707</v>
      </c>
      <c r="BD1" s="401" t="s">
        <v>708</v>
      </c>
      <c r="BE1" s="401" t="s">
        <v>709</v>
      </c>
      <c r="BF1" s="401" t="s">
        <v>710</v>
      </c>
      <c r="BG1" s="401" t="s">
        <v>711</v>
      </c>
      <c r="BH1" s="401" t="s">
        <v>712</v>
      </c>
      <c r="BI1" s="401" t="s">
        <v>713</v>
      </c>
      <c r="BJ1" s="401" t="s">
        <v>714</v>
      </c>
      <c r="BK1" s="401" t="s">
        <v>715</v>
      </c>
      <c r="BL1" s="401" t="s">
        <v>716</v>
      </c>
      <c r="BM1" s="401" t="s">
        <v>717</v>
      </c>
      <c r="BN1" s="401" t="s">
        <v>718</v>
      </c>
      <c r="BO1" s="401" t="s">
        <v>719</v>
      </c>
      <c r="BP1" s="403" t="s">
        <v>720</v>
      </c>
      <c r="BQ1" s="403" t="s">
        <v>721</v>
      </c>
      <c r="BR1" s="403" t="s">
        <v>722</v>
      </c>
      <c r="BS1" s="403" t="s">
        <v>723</v>
      </c>
      <c r="BT1" s="403" t="s">
        <v>724</v>
      </c>
      <c r="BU1" s="403" t="s">
        <v>725</v>
      </c>
      <c r="BV1" s="403" t="s">
        <v>726</v>
      </c>
      <c r="BW1" s="403" t="s">
        <v>727</v>
      </c>
      <c r="BX1" s="403" t="s">
        <v>728</v>
      </c>
      <c r="BY1" s="403" t="s">
        <v>729</v>
      </c>
      <c r="BZ1" s="403" t="s">
        <v>730</v>
      </c>
      <c r="CA1" s="403" t="s">
        <v>731</v>
      </c>
      <c r="CB1" s="403" t="s">
        <v>732</v>
      </c>
      <c r="CC1" s="403" t="s">
        <v>733</v>
      </c>
      <c r="CD1" s="403" t="s">
        <v>734</v>
      </c>
      <c r="CE1" s="404" t="s">
        <v>735</v>
      </c>
      <c r="CF1" s="404" t="s">
        <v>736</v>
      </c>
      <c r="CG1" s="405" t="s">
        <v>737</v>
      </c>
      <c r="CH1" s="411" t="s">
        <v>738</v>
      </c>
      <c r="CI1" s="411" t="s">
        <v>739</v>
      </c>
      <c r="CJ1" s="411" t="s">
        <v>740</v>
      </c>
      <c r="CK1" s="411" t="s">
        <v>741</v>
      </c>
      <c r="CL1" s="411" t="s">
        <v>742</v>
      </c>
      <c r="CM1" s="411" t="s">
        <v>743</v>
      </c>
      <c r="CN1" s="401" t="s">
        <v>744</v>
      </c>
      <c r="CO1" s="401" t="s">
        <v>745</v>
      </c>
      <c r="CP1" s="401" t="s">
        <v>746</v>
      </c>
      <c r="CQ1" s="401" t="s">
        <v>747</v>
      </c>
      <c r="CR1" s="401" t="s">
        <v>748</v>
      </c>
      <c r="CS1" s="401" t="s">
        <v>749</v>
      </c>
      <c r="CT1" s="401" t="s">
        <v>750</v>
      </c>
      <c r="CU1" s="401" t="s">
        <v>751</v>
      </c>
      <c r="CV1" s="401" t="s">
        <v>752</v>
      </c>
      <c r="CW1" s="401" t="s">
        <v>753</v>
      </c>
      <c r="CX1" s="401" t="s">
        <v>754</v>
      </c>
      <c r="CY1" s="401" t="s">
        <v>755</v>
      </c>
      <c r="CZ1" s="401" t="s">
        <v>756</v>
      </c>
      <c r="DA1" s="401" t="s">
        <v>757</v>
      </c>
      <c r="DB1" s="401" t="s">
        <v>758</v>
      </c>
      <c r="DC1" s="401" t="s">
        <v>759</v>
      </c>
      <c r="DD1" s="401" t="s">
        <v>760</v>
      </c>
      <c r="DE1" s="402" t="s">
        <v>761</v>
      </c>
      <c r="DF1" s="401" t="s">
        <v>762</v>
      </c>
      <c r="DG1" s="401" t="s">
        <v>763</v>
      </c>
      <c r="DH1" s="401" t="s">
        <v>764</v>
      </c>
      <c r="DI1" s="401" t="s">
        <v>765</v>
      </c>
      <c r="DJ1" s="401" t="s">
        <v>766</v>
      </c>
      <c r="DK1" s="401" t="s">
        <v>767</v>
      </c>
      <c r="DL1" s="401" t="s">
        <v>768</v>
      </c>
      <c r="DM1" s="401" t="s">
        <v>769</v>
      </c>
      <c r="DN1" s="401" t="s">
        <v>770</v>
      </c>
      <c r="DO1" s="401" t="s">
        <v>771</v>
      </c>
      <c r="DP1" s="401" t="s">
        <v>772</v>
      </c>
      <c r="DQ1" s="401" t="s">
        <v>773</v>
      </c>
      <c r="DR1" s="401" t="s">
        <v>774</v>
      </c>
      <c r="DS1" s="401" t="s">
        <v>775</v>
      </c>
      <c r="DT1" s="401" t="s">
        <v>776</v>
      </c>
      <c r="DU1" s="403" t="s">
        <v>777</v>
      </c>
      <c r="DV1" s="403" t="s">
        <v>778</v>
      </c>
      <c r="DW1" s="403" t="s">
        <v>779</v>
      </c>
      <c r="DX1" s="403" t="s">
        <v>780</v>
      </c>
      <c r="DY1" s="403" t="s">
        <v>781</v>
      </c>
      <c r="DZ1" s="403" t="s">
        <v>782</v>
      </c>
      <c r="EA1" s="403" t="s">
        <v>783</v>
      </c>
      <c r="EB1" s="403" t="s">
        <v>784</v>
      </c>
      <c r="EC1" s="403" t="s">
        <v>785</v>
      </c>
      <c r="ED1" s="403" t="s">
        <v>786</v>
      </c>
      <c r="EE1" s="403" t="s">
        <v>787</v>
      </c>
      <c r="EF1" s="403" t="s">
        <v>788</v>
      </c>
      <c r="EG1" s="403" t="s">
        <v>789</v>
      </c>
      <c r="EH1" s="403" t="s">
        <v>790</v>
      </c>
      <c r="EI1" s="403" t="s">
        <v>791</v>
      </c>
      <c r="EJ1" s="404" t="s">
        <v>792</v>
      </c>
      <c r="EK1" s="404" t="s">
        <v>793</v>
      </c>
      <c r="EL1" s="405" t="s">
        <v>794</v>
      </c>
      <c r="EM1" s="411" t="s">
        <v>795</v>
      </c>
      <c r="EN1" s="411" t="s">
        <v>796</v>
      </c>
      <c r="EO1" s="411" t="s">
        <v>797</v>
      </c>
      <c r="EP1" s="411" t="s">
        <v>798</v>
      </c>
      <c r="EQ1" s="411" t="s">
        <v>799</v>
      </c>
      <c r="ER1" s="411" t="s">
        <v>800</v>
      </c>
    </row>
    <row r="2" spans="1:148" x14ac:dyDescent="0.15">
      <c r="A2" t="str">
        <f>海外居住者のための収入等申告書!D11&amp;海外居住者のための収入等申告書!F11&amp;海外居住者のための収入等申告書!H11</f>
        <v/>
      </c>
      <c r="B2">
        <f ca="1">INDIRECT("計算シート!B"&amp;COLUMN(B1))</f>
        <v>122</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122</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330000</v>
      </c>
      <c r="AS2">
        <f t="shared" ca="1" si="1"/>
        <v>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760000</v>
      </c>
      <c r="BI2">
        <f t="shared" ca="1" si="1"/>
        <v>0</v>
      </c>
      <c r="BJ2">
        <f t="shared" ca="1" si="1"/>
        <v>0</v>
      </c>
      <c r="BK2">
        <f t="shared" ca="1" si="1"/>
        <v>50000</v>
      </c>
      <c r="BL2">
        <f t="shared" ca="1" si="1"/>
        <v>100000</v>
      </c>
      <c r="BM2">
        <f t="shared" ca="1" si="1"/>
        <v>0</v>
      </c>
      <c r="BN2">
        <f t="shared" ca="1" si="1"/>
        <v>882000</v>
      </c>
      <c r="BO2">
        <f t="shared" ca="1" si="1"/>
        <v>0</v>
      </c>
      <c r="BP2">
        <f t="shared" ca="1" si="1"/>
        <v>1</v>
      </c>
      <c r="BQ2">
        <f t="shared" ca="1" si="1"/>
        <v>0</v>
      </c>
      <c r="BR2">
        <f t="shared" ca="1" si="1"/>
        <v>0</v>
      </c>
      <c r="BS2">
        <f t="shared" ca="1" si="1"/>
        <v>0</v>
      </c>
      <c r="BT2">
        <f t="shared" ca="1" si="1"/>
        <v>0</v>
      </c>
      <c r="BU2">
        <f t="shared" ca="1" si="1"/>
        <v>0</v>
      </c>
      <c r="BV2">
        <f t="shared" ca="1" si="1"/>
        <v>0</v>
      </c>
      <c r="BW2">
        <f t="shared" ca="1" si="1"/>
        <v>0</v>
      </c>
      <c r="BX2">
        <f t="shared" ca="1" si="1"/>
        <v>3</v>
      </c>
      <c r="BY2">
        <f t="shared" ca="1" si="1"/>
        <v>2022</v>
      </c>
      <c r="BZ2">
        <f t="shared" ca="1" si="1"/>
        <v>1</v>
      </c>
      <c r="CA2">
        <f t="shared" ca="1" si="1"/>
        <v>44562</v>
      </c>
      <c r="CB2">
        <f t="shared" ca="1" si="1"/>
        <v>2020</v>
      </c>
      <c r="CC2">
        <f t="shared" ca="1" si="1"/>
        <v>2021</v>
      </c>
      <c r="CD2">
        <f t="shared" ca="1" si="1"/>
        <v>2</v>
      </c>
      <c r="CE2">
        <f t="shared" ca="1" si="1"/>
        <v>1</v>
      </c>
      <c r="CF2">
        <f t="shared" ca="1" si="1"/>
        <v>0</v>
      </c>
      <c r="CG2">
        <f t="shared" ca="1" si="1"/>
        <v>0</v>
      </c>
      <c r="CH2">
        <f t="shared" ca="1" si="1"/>
        <v>1</v>
      </c>
      <c r="CI2">
        <f t="shared" ca="1" si="1"/>
        <v>121</v>
      </c>
      <c r="CJ2">
        <f t="shared" ca="1" si="1"/>
        <v>100</v>
      </c>
      <c r="CK2">
        <f t="shared" ca="1" si="1"/>
        <v>0</v>
      </c>
      <c r="CL2">
        <f t="shared" ca="1" si="1"/>
        <v>0</v>
      </c>
      <c r="CM2">
        <f t="shared" ca="1" si="1"/>
        <v>0</v>
      </c>
      <c r="CN2">
        <f ca="1">INDIRECT("計算シート!d"&amp;COLUMN(CM1)-89)</f>
        <v>122</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B17" sqref="B17"/>
    </sheetView>
  </sheetViews>
  <sheetFormatPr defaultRowHeight="13.5" x14ac:dyDescent="0.15"/>
  <cols>
    <col min="2" max="2" width="9.5" style="57" bestFit="1" customWidth="1"/>
    <col min="4" max="4" width="46.5" bestFit="1" customWidth="1"/>
  </cols>
  <sheetData>
    <row r="1" spans="1:4" x14ac:dyDescent="0.15">
      <c r="A1" s="50" t="s">
        <v>170</v>
      </c>
      <c r="B1" s="49" t="s">
        <v>50</v>
      </c>
      <c r="C1" s="50" t="s">
        <v>51</v>
      </c>
      <c r="D1" s="50" t="s">
        <v>52</v>
      </c>
    </row>
    <row r="2" spans="1:4" x14ac:dyDescent="0.15">
      <c r="A2" s="50">
        <v>1</v>
      </c>
      <c r="B2" s="49">
        <v>9000000</v>
      </c>
      <c r="C2" s="50" t="s">
        <v>53</v>
      </c>
      <c r="D2" s="50" t="s">
        <v>54</v>
      </c>
    </row>
    <row r="3" spans="1:4" x14ac:dyDescent="0.15">
      <c r="A3" s="50">
        <v>2</v>
      </c>
      <c r="B3" s="49">
        <v>9500000</v>
      </c>
      <c r="C3" s="50" t="s">
        <v>53</v>
      </c>
      <c r="D3" s="50" t="s">
        <v>55</v>
      </c>
    </row>
    <row r="4" spans="1:4" x14ac:dyDescent="0.15">
      <c r="A4" s="50">
        <v>3</v>
      </c>
      <c r="B4" s="49">
        <v>10000000</v>
      </c>
      <c r="C4" s="50" t="s">
        <v>53</v>
      </c>
      <c r="D4" s="50" t="s">
        <v>56</v>
      </c>
    </row>
    <row r="5" spans="1:4" x14ac:dyDescent="0.15">
      <c r="A5" s="50">
        <v>4</v>
      </c>
      <c r="B5" s="49">
        <v>380000</v>
      </c>
      <c r="C5" s="50" t="s">
        <v>53</v>
      </c>
      <c r="D5" s="50" t="s">
        <v>57</v>
      </c>
    </row>
    <row r="6" spans="1:4" x14ac:dyDescent="0.15">
      <c r="A6" s="50">
        <v>5</v>
      </c>
      <c r="B6" s="49">
        <v>400000</v>
      </c>
      <c r="C6" s="50" t="s">
        <v>53</v>
      </c>
      <c r="D6" s="50" t="s">
        <v>58</v>
      </c>
    </row>
    <row r="7" spans="1:4" x14ac:dyDescent="0.15">
      <c r="A7" s="50">
        <v>6</v>
      </c>
      <c r="B7" s="49">
        <v>450000</v>
      </c>
      <c r="C7" s="50" t="s">
        <v>53</v>
      </c>
      <c r="D7" s="50" t="s">
        <v>59</v>
      </c>
    </row>
    <row r="8" spans="1:4" x14ac:dyDescent="0.15">
      <c r="A8" s="50">
        <v>7</v>
      </c>
      <c r="B8" s="49">
        <v>900000</v>
      </c>
      <c r="C8" s="50" t="s">
        <v>53</v>
      </c>
      <c r="D8" s="50" t="s">
        <v>60</v>
      </c>
    </row>
    <row r="9" spans="1:4" x14ac:dyDescent="0.15">
      <c r="A9" s="50">
        <v>8</v>
      </c>
      <c r="B9" s="49">
        <v>950000</v>
      </c>
      <c r="C9" s="50" t="s">
        <v>53</v>
      </c>
      <c r="D9" s="50" t="s">
        <v>61</v>
      </c>
    </row>
    <row r="10" spans="1:4" x14ac:dyDescent="0.15">
      <c r="A10" s="50">
        <v>9</v>
      </c>
      <c r="B10" s="51">
        <v>1000000</v>
      </c>
      <c r="C10" s="50" t="s">
        <v>53</v>
      </c>
      <c r="D10" s="50" t="s">
        <v>62</v>
      </c>
    </row>
    <row r="11" spans="1:4" x14ac:dyDescent="0.15">
      <c r="A11" s="50">
        <v>10</v>
      </c>
      <c r="B11" s="51">
        <v>1050000</v>
      </c>
      <c r="C11" s="50" t="s">
        <v>53</v>
      </c>
      <c r="D11" s="50" t="s">
        <v>63</v>
      </c>
    </row>
    <row r="12" spans="1:4" x14ac:dyDescent="0.15">
      <c r="A12" s="50">
        <v>11</v>
      </c>
      <c r="B12" s="51">
        <v>1100000</v>
      </c>
      <c r="C12" s="50" t="s">
        <v>53</v>
      </c>
      <c r="D12" s="50" t="s">
        <v>64</v>
      </c>
    </row>
    <row r="13" spans="1:4" x14ac:dyDescent="0.15">
      <c r="A13" s="50">
        <v>12</v>
      </c>
      <c r="B13" s="51">
        <v>1150000</v>
      </c>
      <c r="C13" s="50" t="s">
        <v>53</v>
      </c>
      <c r="D13" s="50" t="s">
        <v>65</v>
      </c>
    </row>
    <row r="14" spans="1:4" x14ac:dyDescent="0.15">
      <c r="A14" s="50">
        <v>13</v>
      </c>
      <c r="B14" s="51">
        <v>1200000</v>
      </c>
      <c r="C14" s="50" t="s">
        <v>53</v>
      </c>
      <c r="D14" s="50" t="s">
        <v>66</v>
      </c>
    </row>
    <row r="15" spans="1:4" x14ac:dyDescent="0.15">
      <c r="A15" s="50">
        <v>14</v>
      </c>
      <c r="B15" s="51">
        <v>1230000</v>
      </c>
      <c r="C15" s="50" t="s">
        <v>53</v>
      </c>
      <c r="D15" s="50" t="s">
        <v>67</v>
      </c>
    </row>
    <row r="16" spans="1:4" x14ac:dyDescent="0.15">
      <c r="A16" s="50">
        <v>15</v>
      </c>
      <c r="B16" s="49">
        <v>551000</v>
      </c>
      <c r="C16" s="50" t="s">
        <v>53</v>
      </c>
      <c r="D16" s="50" t="s">
        <v>68</v>
      </c>
    </row>
    <row r="17" spans="1:4" x14ac:dyDescent="0.15">
      <c r="A17" s="50">
        <v>16</v>
      </c>
      <c r="B17" s="49">
        <v>1619000</v>
      </c>
      <c r="C17" s="50" t="s">
        <v>53</v>
      </c>
      <c r="D17" s="50" t="s">
        <v>69</v>
      </c>
    </row>
    <row r="18" spans="1:4" x14ac:dyDescent="0.15">
      <c r="A18" s="50">
        <v>17</v>
      </c>
      <c r="B18" s="49">
        <v>1620000</v>
      </c>
      <c r="C18" s="50" t="s">
        <v>53</v>
      </c>
      <c r="D18" s="50" t="s">
        <v>70</v>
      </c>
    </row>
    <row r="19" spans="1:4" x14ac:dyDescent="0.15">
      <c r="A19" s="50">
        <v>18</v>
      </c>
      <c r="B19" s="49">
        <v>1622000</v>
      </c>
      <c r="C19" s="50" t="s">
        <v>53</v>
      </c>
      <c r="D19" s="50" t="s">
        <v>71</v>
      </c>
    </row>
    <row r="20" spans="1:4" x14ac:dyDescent="0.15">
      <c r="A20" s="50">
        <v>19</v>
      </c>
      <c r="B20" s="49">
        <v>1624000</v>
      </c>
      <c r="C20" s="50" t="s">
        <v>53</v>
      </c>
      <c r="D20" s="50" t="s">
        <v>72</v>
      </c>
    </row>
    <row r="21" spans="1:4" x14ac:dyDescent="0.15">
      <c r="A21" s="50">
        <v>20</v>
      </c>
      <c r="B21" s="49">
        <v>1628000</v>
      </c>
      <c r="C21" s="50" t="s">
        <v>53</v>
      </c>
      <c r="D21" s="50" t="s">
        <v>73</v>
      </c>
    </row>
    <row r="22" spans="1:4" x14ac:dyDescent="0.15">
      <c r="A22" s="50">
        <v>21</v>
      </c>
      <c r="B22" s="49">
        <v>1800000</v>
      </c>
      <c r="C22" s="50" t="s">
        <v>53</v>
      </c>
      <c r="D22" s="50" t="s">
        <v>74</v>
      </c>
    </row>
    <row r="23" spans="1:4" x14ac:dyDescent="0.15">
      <c r="A23" s="50">
        <v>22</v>
      </c>
      <c r="B23" s="49">
        <v>3600000</v>
      </c>
      <c r="C23" s="50" t="s">
        <v>53</v>
      </c>
      <c r="D23" s="50" t="s">
        <v>75</v>
      </c>
    </row>
    <row r="24" spans="1:4" x14ac:dyDescent="0.15">
      <c r="A24" s="50">
        <v>23</v>
      </c>
      <c r="B24" s="49">
        <v>6600000</v>
      </c>
      <c r="C24" s="50" t="s">
        <v>53</v>
      </c>
      <c r="D24" s="50" t="s">
        <v>76</v>
      </c>
    </row>
    <row r="25" spans="1:4" x14ac:dyDescent="0.15">
      <c r="A25" s="50">
        <v>24</v>
      </c>
      <c r="B25" s="49">
        <v>10000000</v>
      </c>
      <c r="C25" s="50" t="s">
        <v>53</v>
      </c>
      <c r="D25" s="50" t="s">
        <v>77</v>
      </c>
    </row>
    <row r="26" spans="1:4" x14ac:dyDescent="0.15">
      <c r="A26" s="50">
        <v>25</v>
      </c>
      <c r="B26" s="49">
        <v>63000</v>
      </c>
      <c r="C26" s="50" t="s">
        <v>53</v>
      </c>
      <c r="D26" s="56" t="s">
        <v>171</v>
      </c>
    </row>
    <row r="27" spans="1:4" x14ac:dyDescent="0.15">
      <c r="A27" s="50">
        <v>26</v>
      </c>
      <c r="B27" s="49">
        <v>73000</v>
      </c>
      <c r="C27" s="50" t="s">
        <v>53</v>
      </c>
      <c r="D27" s="56" t="s">
        <v>172</v>
      </c>
    </row>
    <row r="28" spans="1:4" x14ac:dyDescent="0.15">
      <c r="A28" s="50">
        <v>27</v>
      </c>
      <c r="B28" s="49">
        <v>83000</v>
      </c>
      <c r="C28" s="50" t="s">
        <v>53</v>
      </c>
      <c r="D28" s="56" t="s">
        <v>173</v>
      </c>
    </row>
    <row r="29" spans="1:4" x14ac:dyDescent="0.15">
      <c r="A29" s="50">
        <v>28</v>
      </c>
      <c r="B29" s="49">
        <v>93000</v>
      </c>
      <c r="C29" s="50" t="s">
        <v>53</v>
      </c>
      <c r="D29" s="56" t="s">
        <v>174</v>
      </c>
    </row>
    <row r="30" spans="1:4" x14ac:dyDescent="0.15">
      <c r="A30" s="50">
        <v>29</v>
      </c>
      <c r="B30" s="49">
        <v>101000</v>
      </c>
      <c r="C30" s="50" t="s">
        <v>53</v>
      </c>
      <c r="D30" s="56" t="s">
        <v>175</v>
      </c>
    </row>
    <row r="31" spans="1:4" x14ac:dyDescent="0.15">
      <c r="A31" s="50">
        <v>30</v>
      </c>
      <c r="B31" s="49">
        <v>107000</v>
      </c>
      <c r="C31" s="50" t="s">
        <v>53</v>
      </c>
      <c r="D31" s="56" t="s">
        <v>176</v>
      </c>
    </row>
    <row r="32" spans="1:4" x14ac:dyDescent="0.15">
      <c r="A32" s="50">
        <v>31</v>
      </c>
      <c r="B32" s="49">
        <v>114000</v>
      </c>
      <c r="C32" s="50" t="s">
        <v>53</v>
      </c>
      <c r="D32" s="56" t="s">
        <v>177</v>
      </c>
    </row>
    <row r="33" spans="1:4" x14ac:dyDescent="0.15">
      <c r="A33" s="50">
        <v>32</v>
      </c>
      <c r="B33" s="49">
        <v>122000</v>
      </c>
      <c r="C33" s="50" t="s">
        <v>53</v>
      </c>
      <c r="D33" s="56" t="s">
        <v>178</v>
      </c>
    </row>
    <row r="34" spans="1:4" x14ac:dyDescent="0.15">
      <c r="A34" s="50">
        <v>33</v>
      </c>
      <c r="B34" s="49">
        <v>130000</v>
      </c>
      <c r="C34" s="50" t="s">
        <v>53</v>
      </c>
      <c r="D34" s="56" t="s">
        <v>179</v>
      </c>
    </row>
    <row r="35" spans="1:4" x14ac:dyDescent="0.15">
      <c r="A35" s="50">
        <v>34</v>
      </c>
      <c r="B35" s="49">
        <v>138000</v>
      </c>
      <c r="C35" s="50" t="s">
        <v>53</v>
      </c>
      <c r="D35" s="56" t="s">
        <v>180</v>
      </c>
    </row>
    <row r="36" spans="1:4" x14ac:dyDescent="0.15">
      <c r="A36" s="50">
        <v>35</v>
      </c>
      <c r="B36" s="49">
        <v>146000</v>
      </c>
      <c r="C36" s="50" t="s">
        <v>53</v>
      </c>
      <c r="D36" s="56" t="s">
        <v>181</v>
      </c>
    </row>
    <row r="37" spans="1:4" x14ac:dyDescent="0.15">
      <c r="A37" s="50">
        <v>36</v>
      </c>
      <c r="B37" s="49">
        <v>155000</v>
      </c>
      <c r="C37" s="50" t="s">
        <v>53</v>
      </c>
      <c r="D37" s="56" t="s">
        <v>182</v>
      </c>
    </row>
    <row r="38" spans="1:4" x14ac:dyDescent="0.15">
      <c r="A38" s="50">
        <v>37</v>
      </c>
      <c r="B38" s="49">
        <v>165000</v>
      </c>
      <c r="C38" s="50" t="s">
        <v>53</v>
      </c>
      <c r="D38" s="56" t="s">
        <v>183</v>
      </c>
    </row>
    <row r="39" spans="1:4" x14ac:dyDescent="0.15">
      <c r="A39" s="50">
        <v>38</v>
      </c>
      <c r="B39" s="49">
        <v>175000</v>
      </c>
      <c r="C39" s="50" t="s">
        <v>53</v>
      </c>
      <c r="D39" s="56" t="s">
        <v>184</v>
      </c>
    </row>
    <row r="40" spans="1:4" x14ac:dyDescent="0.15">
      <c r="A40" s="50">
        <v>39</v>
      </c>
      <c r="B40" s="49">
        <v>185000</v>
      </c>
      <c r="C40" s="50" t="s">
        <v>53</v>
      </c>
      <c r="D40" s="56" t="s">
        <v>185</v>
      </c>
    </row>
    <row r="41" spans="1:4" x14ac:dyDescent="0.15">
      <c r="A41" s="50">
        <v>40</v>
      </c>
      <c r="B41" s="49">
        <v>195000</v>
      </c>
      <c r="C41" s="50" t="s">
        <v>53</v>
      </c>
      <c r="D41" s="56" t="s">
        <v>186</v>
      </c>
    </row>
    <row r="42" spans="1:4" x14ac:dyDescent="0.15">
      <c r="A42" s="50">
        <v>41</v>
      </c>
      <c r="B42" s="49">
        <v>210000</v>
      </c>
      <c r="C42" s="50" t="s">
        <v>53</v>
      </c>
      <c r="D42" s="56" t="s">
        <v>187</v>
      </c>
    </row>
    <row r="43" spans="1:4" x14ac:dyDescent="0.15">
      <c r="A43" s="50">
        <v>42</v>
      </c>
      <c r="B43" s="49">
        <v>230000</v>
      </c>
      <c r="C43" s="50" t="s">
        <v>53</v>
      </c>
      <c r="D43" s="56" t="s">
        <v>188</v>
      </c>
    </row>
    <row r="44" spans="1:4" x14ac:dyDescent="0.15">
      <c r="A44" s="50">
        <v>43</v>
      </c>
      <c r="B44" s="49">
        <v>250000</v>
      </c>
      <c r="C44" s="50" t="s">
        <v>53</v>
      </c>
      <c r="D44" s="56" t="s">
        <v>189</v>
      </c>
    </row>
    <row r="45" spans="1:4" x14ac:dyDescent="0.15">
      <c r="A45" s="50">
        <v>44</v>
      </c>
      <c r="B45" s="49">
        <v>270000</v>
      </c>
      <c r="C45" s="50" t="s">
        <v>53</v>
      </c>
      <c r="D45" s="56" t="s">
        <v>190</v>
      </c>
    </row>
    <row r="46" spans="1:4" x14ac:dyDescent="0.15">
      <c r="A46" s="50">
        <v>45</v>
      </c>
      <c r="B46" s="49">
        <v>290000</v>
      </c>
      <c r="C46" s="50" t="s">
        <v>53</v>
      </c>
      <c r="D46" s="56" t="s">
        <v>191</v>
      </c>
    </row>
    <row r="47" spans="1:4" x14ac:dyDescent="0.15">
      <c r="A47" s="50">
        <v>46</v>
      </c>
      <c r="B47" s="49">
        <v>310000</v>
      </c>
      <c r="C47" s="50" t="s">
        <v>53</v>
      </c>
      <c r="D47" s="56" t="s">
        <v>192</v>
      </c>
    </row>
    <row r="48" spans="1:4" x14ac:dyDescent="0.15">
      <c r="A48" s="50">
        <v>47</v>
      </c>
      <c r="B48" s="49">
        <v>330000</v>
      </c>
      <c r="C48" s="50" t="s">
        <v>53</v>
      </c>
      <c r="D48" s="56" t="s">
        <v>193</v>
      </c>
    </row>
    <row r="49" spans="1:4" x14ac:dyDescent="0.15">
      <c r="A49" s="50">
        <v>48</v>
      </c>
      <c r="B49" s="49">
        <v>350000</v>
      </c>
      <c r="C49" s="50" t="s">
        <v>53</v>
      </c>
      <c r="D49" s="56" t="s">
        <v>194</v>
      </c>
    </row>
    <row r="50" spans="1:4" x14ac:dyDescent="0.15">
      <c r="A50" s="50">
        <v>49</v>
      </c>
      <c r="B50" s="49">
        <v>370000</v>
      </c>
      <c r="C50" s="50" t="s">
        <v>53</v>
      </c>
      <c r="D50" s="56" t="s">
        <v>195</v>
      </c>
    </row>
    <row r="51" spans="1:4" x14ac:dyDescent="0.15">
      <c r="A51" s="50">
        <v>50</v>
      </c>
      <c r="B51" s="49">
        <v>395000</v>
      </c>
      <c r="C51" s="50" t="s">
        <v>53</v>
      </c>
      <c r="D51" s="56" t="s">
        <v>196</v>
      </c>
    </row>
    <row r="52" spans="1:4" x14ac:dyDescent="0.15">
      <c r="A52" s="50">
        <v>51</v>
      </c>
      <c r="B52" s="49">
        <v>425000</v>
      </c>
      <c r="C52" s="50" t="s">
        <v>53</v>
      </c>
      <c r="D52" s="56" t="s">
        <v>197</v>
      </c>
    </row>
    <row r="53" spans="1:4" x14ac:dyDescent="0.15">
      <c r="A53" s="50">
        <v>52</v>
      </c>
      <c r="B53" s="49">
        <v>455000</v>
      </c>
      <c r="C53" s="50" t="s">
        <v>53</v>
      </c>
      <c r="D53" s="56" t="s">
        <v>198</v>
      </c>
    </row>
    <row r="54" spans="1:4" x14ac:dyDescent="0.15">
      <c r="A54" s="50">
        <v>53</v>
      </c>
      <c r="B54" s="49">
        <v>485000</v>
      </c>
      <c r="C54" s="50" t="s">
        <v>53</v>
      </c>
      <c r="D54" s="56" t="s">
        <v>199</v>
      </c>
    </row>
    <row r="55" spans="1:4" x14ac:dyDescent="0.15">
      <c r="A55" s="50">
        <v>54</v>
      </c>
      <c r="B55" s="49">
        <v>515000</v>
      </c>
      <c r="C55" s="50" t="s">
        <v>53</v>
      </c>
      <c r="D55" s="56" t="s">
        <v>200</v>
      </c>
    </row>
    <row r="56" spans="1:4" x14ac:dyDescent="0.15">
      <c r="A56" s="50">
        <v>55</v>
      </c>
      <c r="B56" s="49">
        <v>545000</v>
      </c>
      <c r="C56" s="50" t="s">
        <v>53</v>
      </c>
      <c r="D56" s="56" t="s">
        <v>201</v>
      </c>
    </row>
    <row r="57" spans="1:4" x14ac:dyDescent="0.15">
      <c r="A57" s="50">
        <v>56</v>
      </c>
      <c r="B57" s="49">
        <v>575000</v>
      </c>
      <c r="C57" s="50" t="s">
        <v>53</v>
      </c>
      <c r="D57" s="56" t="s">
        <v>202</v>
      </c>
    </row>
    <row r="58" spans="1:4" x14ac:dyDescent="0.15">
      <c r="A58" s="50">
        <v>57</v>
      </c>
      <c r="B58" s="49">
        <v>605000</v>
      </c>
      <c r="C58" s="50" t="s">
        <v>53</v>
      </c>
      <c r="D58" s="56" t="s">
        <v>203</v>
      </c>
    </row>
    <row r="59" spans="1:4" x14ac:dyDescent="0.15">
      <c r="A59" s="50">
        <v>58</v>
      </c>
      <c r="B59" s="49">
        <v>635000</v>
      </c>
      <c r="C59" s="50" t="s">
        <v>53</v>
      </c>
      <c r="D59" s="56" t="s">
        <v>204</v>
      </c>
    </row>
    <row r="60" spans="1:4" x14ac:dyDescent="0.15">
      <c r="A60" s="50">
        <v>59</v>
      </c>
      <c r="B60" s="49">
        <v>665000</v>
      </c>
      <c r="C60" s="50" t="s">
        <v>53</v>
      </c>
      <c r="D60" s="56" t="s">
        <v>205</v>
      </c>
    </row>
    <row r="61" spans="1:4" x14ac:dyDescent="0.15">
      <c r="A61" s="50">
        <v>60</v>
      </c>
      <c r="B61" s="49">
        <v>695000</v>
      </c>
      <c r="C61" s="50" t="s">
        <v>53</v>
      </c>
      <c r="D61" s="56" t="s">
        <v>206</v>
      </c>
    </row>
    <row r="62" spans="1:4" x14ac:dyDescent="0.15">
      <c r="A62" s="50">
        <v>61</v>
      </c>
      <c r="B62" s="49">
        <v>730000</v>
      </c>
      <c r="C62" s="50" t="s">
        <v>53</v>
      </c>
      <c r="D62" s="56" t="s">
        <v>207</v>
      </c>
    </row>
    <row r="63" spans="1:4" x14ac:dyDescent="0.15">
      <c r="A63" s="50">
        <v>62</v>
      </c>
      <c r="B63" s="49">
        <v>770000</v>
      </c>
      <c r="C63" s="50" t="s">
        <v>53</v>
      </c>
      <c r="D63" s="56" t="s">
        <v>208</v>
      </c>
    </row>
    <row r="64" spans="1:4" x14ac:dyDescent="0.15">
      <c r="A64" s="50">
        <v>63</v>
      </c>
      <c r="B64" s="49">
        <v>810000</v>
      </c>
      <c r="C64" s="50" t="s">
        <v>53</v>
      </c>
      <c r="D64" s="56" t="s">
        <v>209</v>
      </c>
    </row>
    <row r="65" spans="1:4" x14ac:dyDescent="0.15">
      <c r="A65" s="50">
        <v>64</v>
      </c>
      <c r="B65" s="49">
        <v>855000</v>
      </c>
      <c r="C65" s="50" t="s">
        <v>53</v>
      </c>
      <c r="D65" s="56" t="s">
        <v>210</v>
      </c>
    </row>
    <row r="66" spans="1:4" x14ac:dyDescent="0.15">
      <c r="A66" s="50">
        <v>65</v>
      </c>
      <c r="B66" s="49">
        <v>905000</v>
      </c>
      <c r="C66" s="50" t="s">
        <v>53</v>
      </c>
      <c r="D66" s="56" t="s">
        <v>211</v>
      </c>
    </row>
    <row r="67" spans="1:4" x14ac:dyDescent="0.15">
      <c r="A67" s="50">
        <v>66</v>
      </c>
      <c r="B67" s="49">
        <v>955000</v>
      </c>
      <c r="C67" s="50" t="s">
        <v>53</v>
      </c>
      <c r="D67" s="56" t="s">
        <v>212</v>
      </c>
    </row>
    <row r="68" spans="1:4" x14ac:dyDescent="0.15">
      <c r="A68" s="50">
        <v>67</v>
      </c>
      <c r="B68" s="49">
        <v>1005000</v>
      </c>
      <c r="C68" s="50" t="s">
        <v>53</v>
      </c>
      <c r="D68" s="56" t="s">
        <v>213</v>
      </c>
    </row>
    <row r="69" spans="1:4" x14ac:dyDescent="0.15">
      <c r="A69" s="50">
        <v>68</v>
      </c>
      <c r="B69" s="49">
        <v>1055000</v>
      </c>
      <c r="C69" s="50" t="s">
        <v>53</v>
      </c>
      <c r="D69" s="56" t="s">
        <v>214</v>
      </c>
    </row>
    <row r="70" spans="1:4" x14ac:dyDescent="0.15">
      <c r="A70" s="50">
        <v>69</v>
      </c>
      <c r="B70" s="49">
        <v>1115000</v>
      </c>
      <c r="C70" s="50" t="s">
        <v>53</v>
      </c>
      <c r="D70" s="56" t="s">
        <v>215</v>
      </c>
    </row>
    <row r="71" spans="1:4" x14ac:dyDescent="0.15">
      <c r="A71" s="50">
        <v>70</v>
      </c>
      <c r="B71" s="49">
        <v>1175000</v>
      </c>
      <c r="C71" s="50" t="s">
        <v>53</v>
      </c>
      <c r="D71" s="56" t="s">
        <v>216</v>
      </c>
    </row>
    <row r="72" spans="1:4" x14ac:dyDescent="0.15">
      <c r="A72" s="50">
        <v>71</v>
      </c>
      <c r="B72" s="49">
        <v>1235000</v>
      </c>
      <c r="C72" s="50" t="s">
        <v>53</v>
      </c>
      <c r="D72" s="56" t="s">
        <v>217</v>
      </c>
    </row>
    <row r="73" spans="1:4" x14ac:dyDescent="0.15">
      <c r="A73" s="50">
        <v>72</v>
      </c>
      <c r="B73" s="49">
        <v>1295000</v>
      </c>
      <c r="C73" s="50" t="s">
        <v>53</v>
      </c>
      <c r="D73" s="56" t="s">
        <v>218</v>
      </c>
    </row>
    <row r="74" spans="1:4" x14ac:dyDescent="0.15">
      <c r="A74" s="50">
        <v>73</v>
      </c>
      <c r="B74" s="49">
        <v>1355000</v>
      </c>
      <c r="C74" s="50" t="s">
        <v>53</v>
      </c>
      <c r="D74" s="56" t="s">
        <v>219</v>
      </c>
    </row>
    <row r="75" spans="1:4" x14ac:dyDescent="0.15">
      <c r="A75" s="216">
        <v>74</v>
      </c>
      <c r="B75" s="216">
        <v>24000000</v>
      </c>
      <c r="C75" s="216" t="s">
        <v>53</v>
      </c>
      <c r="D75" s="216" t="s">
        <v>609</v>
      </c>
    </row>
    <row r="76" spans="1:4" x14ac:dyDescent="0.15">
      <c r="A76" s="216">
        <v>75</v>
      </c>
      <c r="B76" s="216">
        <v>24500000</v>
      </c>
      <c r="C76" s="216" t="s">
        <v>53</v>
      </c>
      <c r="D76" s="216" t="s">
        <v>610</v>
      </c>
    </row>
    <row r="77" spans="1:4" x14ac:dyDescent="0.15">
      <c r="A77" s="216">
        <v>76</v>
      </c>
      <c r="B77" s="216">
        <v>25000000</v>
      </c>
      <c r="C77" s="216" t="s">
        <v>53</v>
      </c>
      <c r="D77" s="216" t="s">
        <v>611</v>
      </c>
    </row>
    <row r="78" spans="1:4" x14ac:dyDescent="0.15">
      <c r="A78" s="216">
        <v>77</v>
      </c>
      <c r="B78" s="383">
        <v>10000000</v>
      </c>
      <c r="C78" s="216" t="s">
        <v>53</v>
      </c>
      <c r="D78" s="216" t="s">
        <v>612</v>
      </c>
    </row>
    <row r="79" spans="1:4" x14ac:dyDescent="0.15">
      <c r="A79" s="216">
        <v>78</v>
      </c>
      <c r="B79" s="383">
        <v>100000</v>
      </c>
      <c r="C79" s="216" t="s">
        <v>53</v>
      </c>
      <c r="D79" s="216" t="s">
        <v>613</v>
      </c>
    </row>
  </sheetData>
  <phoneticPr fontId="2"/>
  <pageMargins left="0.7" right="0.7" top="0.75" bottom="0.75" header="0.3" footer="0.3"/>
  <pageSetup paperSize="9"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50" t="s">
        <v>79</v>
      </c>
    </row>
    <row r="3" spans="1:4" x14ac:dyDescent="0.15">
      <c r="A3" s="50">
        <v>2</v>
      </c>
      <c r="B3" s="52" t="s">
        <v>80</v>
      </c>
      <c r="C3" s="50" t="s">
        <v>78</v>
      </c>
      <c r="D3" s="50" t="s">
        <v>81</v>
      </c>
    </row>
    <row r="4" spans="1:4" x14ac:dyDescent="0.15">
      <c r="A4" s="50">
        <v>3</v>
      </c>
      <c r="B4" s="50">
        <v>969000</v>
      </c>
      <c r="C4" s="50" t="s">
        <v>78</v>
      </c>
      <c r="D4" s="50" t="s">
        <v>82</v>
      </c>
    </row>
    <row r="5" spans="1:4" x14ac:dyDescent="0.15">
      <c r="A5" s="50">
        <v>4</v>
      </c>
      <c r="B5" s="50">
        <v>970000</v>
      </c>
      <c r="C5" s="50" t="s">
        <v>78</v>
      </c>
      <c r="D5" s="50" t="s">
        <v>83</v>
      </c>
    </row>
    <row r="6" spans="1:4" x14ac:dyDescent="0.15">
      <c r="A6" s="50">
        <v>5</v>
      </c>
      <c r="B6" s="50">
        <v>972000</v>
      </c>
      <c r="C6" s="50" t="s">
        <v>78</v>
      </c>
      <c r="D6" s="50" t="s">
        <v>84</v>
      </c>
    </row>
    <row r="7" spans="1:4" x14ac:dyDescent="0.15">
      <c r="A7" s="50">
        <v>6</v>
      </c>
      <c r="B7" s="50">
        <v>974000</v>
      </c>
      <c r="C7" s="50" t="s">
        <v>78</v>
      </c>
      <c r="D7" s="50" t="s">
        <v>85</v>
      </c>
    </row>
    <row r="8" spans="1:4" x14ac:dyDescent="0.15">
      <c r="A8" s="50">
        <v>7</v>
      </c>
      <c r="B8" s="52" t="s">
        <v>220</v>
      </c>
      <c r="C8" s="50" t="s">
        <v>78</v>
      </c>
      <c r="D8" s="50" t="s">
        <v>86</v>
      </c>
    </row>
    <row r="9" spans="1:4" x14ac:dyDescent="0.15">
      <c r="A9" s="50">
        <v>8</v>
      </c>
      <c r="B9" s="52" t="s">
        <v>221</v>
      </c>
      <c r="C9" s="50" t="s">
        <v>78</v>
      </c>
      <c r="D9" s="50" t="s">
        <v>87</v>
      </c>
    </row>
    <row r="10" spans="1:4" x14ac:dyDescent="0.15">
      <c r="A10" s="50">
        <v>9</v>
      </c>
      <c r="B10" s="52" t="s">
        <v>222</v>
      </c>
      <c r="C10" s="50" t="s">
        <v>78</v>
      </c>
      <c r="D10" s="50" t="s">
        <v>88</v>
      </c>
    </row>
    <row r="11" spans="1:4" x14ac:dyDescent="0.15">
      <c r="A11" s="50">
        <v>10</v>
      </c>
      <c r="B11" s="52" t="s">
        <v>89</v>
      </c>
      <c r="C11" s="50" t="s">
        <v>78</v>
      </c>
      <c r="D11" s="50" t="s">
        <v>90</v>
      </c>
    </row>
    <row r="12" spans="1:4" x14ac:dyDescent="0.15">
      <c r="A12" s="50">
        <v>11</v>
      </c>
      <c r="B12" s="52" t="s">
        <v>91</v>
      </c>
      <c r="C12" s="50" t="s">
        <v>78</v>
      </c>
      <c r="D12" s="50" t="s">
        <v>92</v>
      </c>
    </row>
    <row r="13" spans="1:4" x14ac:dyDescent="0.15">
      <c r="A13" s="50">
        <v>1</v>
      </c>
      <c r="B13" s="49">
        <v>65</v>
      </c>
      <c r="C13" s="50" t="s">
        <v>53</v>
      </c>
      <c r="D13" s="53" t="s">
        <v>93</v>
      </c>
    </row>
    <row r="14" spans="1:4" x14ac:dyDescent="0.15">
      <c r="A14" s="50">
        <v>2</v>
      </c>
      <c r="B14" s="49">
        <v>3300000</v>
      </c>
      <c r="C14" s="50" t="s">
        <v>53</v>
      </c>
      <c r="D14" s="53" t="s">
        <v>94</v>
      </c>
    </row>
    <row r="15" spans="1:4" x14ac:dyDescent="0.15">
      <c r="A15" s="50">
        <v>3</v>
      </c>
      <c r="B15" s="49">
        <v>4100000</v>
      </c>
      <c r="C15" s="50" t="s">
        <v>53</v>
      </c>
      <c r="D15" s="53" t="s">
        <v>95</v>
      </c>
    </row>
    <row r="16" spans="1:4" x14ac:dyDescent="0.15">
      <c r="A16" s="50">
        <v>4</v>
      </c>
      <c r="B16" s="49">
        <v>7700000</v>
      </c>
      <c r="C16" s="50" t="s">
        <v>53</v>
      </c>
      <c r="D16" s="53" t="s">
        <v>96</v>
      </c>
    </row>
    <row r="17" spans="1:4" x14ac:dyDescent="0.15">
      <c r="A17" s="50">
        <v>5</v>
      </c>
      <c r="B17" s="49">
        <v>10000000</v>
      </c>
      <c r="C17" s="50" t="s">
        <v>53</v>
      </c>
      <c r="D17" s="53" t="s">
        <v>97</v>
      </c>
    </row>
    <row r="18" spans="1:4" x14ac:dyDescent="0.15">
      <c r="A18" s="50">
        <v>6</v>
      </c>
      <c r="B18" s="49">
        <v>1300000</v>
      </c>
      <c r="C18" s="50" t="s">
        <v>53</v>
      </c>
      <c r="D18" s="53" t="s">
        <v>98</v>
      </c>
    </row>
    <row r="19" spans="1:4" x14ac:dyDescent="0.15">
      <c r="A19" s="50">
        <v>7</v>
      </c>
      <c r="B19" s="49">
        <v>4100000</v>
      </c>
      <c r="C19" s="50" t="s">
        <v>53</v>
      </c>
      <c r="D19" s="53" t="s">
        <v>99</v>
      </c>
    </row>
    <row r="20" spans="1:4" x14ac:dyDescent="0.15">
      <c r="A20" s="50">
        <v>8</v>
      </c>
      <c r="B20" s="49">
        <v>7700000</v>
      </c>
      <c r="C20" s="50" t="s">
        <v>53</v>
      </c>
      <c r="D20" s="53" t="s">
        <v>100</v>
      </c>
    </row>
    <row r="21" spans="1:4" x14ac:dyDescent="0.15">
      <c r="A21" s="50">
        <v>9</v>
      </c>
      <c r="B21" s="49">
        <v>10000000</v>
      </c>
      <c r="C21" s="50" t="s">
        <v>53</v>
      </c>
      <c r="D21" s="53" t="s">
        <v>101</v>
      </c>
    </row>
    <row r="22" spans="1:4" x14ac:dyDescent="0.15">
      <c r="A22" s="50">
        <v>10</v>
      </c>
      <c r="B22" s="49" t="s">
        <v>102</v>
      </c>
      <c r="C22" s="50" t="s">
        <v>53</v>
      </c>
      <c r="D22" s="53" t="s">
        <v>103</v>
      </c>
    </row>
    <row r="23" spans="1:4" x14ac:dyDescent="0.15">
      <c r="A23" s="50">
        <v>11</v>
      </c>
      <c r="B23" s="49" t="s">
        <v>104</v>
      </c>
      <c r="C23" s="50" t="s">
        <v>53</v>
      </c>
      <c r="D23" s="53" t="s">
        <v>105</v>
      </c>
    </row>
    <row r="24" spans="1:4" x14ac:dyDescent="0.15">
      <c r="A24" s="50">
        <v>12</v>
      </c>
      <c r="B24" s="49" t="s">
        <v>106</v>
      </c>
      <c r="C24" s="50" t="s">
        <v>53</v>
      </c>
      <c r="D24" s="53" t="s">
        <v>107</v>
      </c>
    </row>
    <row r="25" spans="1:4" x14ac:dyDescent="0.15">
      <c r="A25" s="50">
        <v>13</v>
      </c>
      <c r="B25" s="49" t="s">
        <v>108</v>
      </c>
      <c r="C25" s="50" t="s">
        <v>53</v>
      </c>
      <c r="D25" s="53" t="s">
        <v>109</v>
      </c>
    </row>
    <row r="26" spans="1:4" x14ac:dyDescent="0.15">
      <c r="A26" s="50">
        <v>14</v>
      </c>
      <c r="B26" s="49" t="s">
        <v>110</v>
      </c>
      <c r="C26" s="50" t="s">
        <v>53</v>
      </c>
      <c r="D26" s="53" t="s">
        <v>111</v>
      </c>
    </row>
    <row r="27" spans="1:4" x14ac:dyDescent="0.15">
      <c r="A27" s="50">
        <v>15</v>
      </c>
      <c r="B27" s="49" t="s">
        <v>112</v>
      </c>
      <c r="C27" s="50" t="s">
        <v>53</v>
      </c>
      <c r="D27" s="53" t="s">
        <v>113</v>
      </c>
    </row>
    <row r="28" spans="1:4" x14ac:dyDescent="0.15">
      <c r="A28" s="50">
        <v>16</v>
      </c>
      <c r="B28" s="49" t="s">
        <v>104</v>
      </c>
      <c r="C28" s="50" t="s">
        <v>53</v>
      </c>
      <c r="D28" s="53" t="s">
        <v>114</v>
      </c>
    </row>
    <row r="29" spans="1:4" x14ac:dyDescent="0.15">
      <c r="A29" s="50">
        <v>17</v>
      </c>
      <c r="B29" s="49" t="s">
        <v>106</v>
      </c>
      <c r="C29" s="50" t="s">
        <v>53</v>
      </c>
      <c r="D29" s="53" t="s">
        <v>115</v>
      </c>
    </row>
    <row r="30" spans="1:4" x14ac:dyDescent="0.15">
      <c r="A30" s="50">
        <v>18</v>
      </c>
      <c r="B30" s="49" t="s">
        <v>108</v>
      </c>
      <c r="C30" s="50" t="s">
        <v>53</v>
      </c>
      <c r="D30" s="53" t="s">
        <v>116</v>
      </c>
    </row>
    <row r="31" spans="1:4" x14ac:dyDescent="0.15">
      <c r="A31" s="50">
        <v>19</v>
      </c>
      <c r="B31" s="49" t="s">
        <v>110</v>
      </c>
      <c r="C31" s="50" t="s">
        <v>53</v>
      </c>
      <c r="D31" s="53" t="s">
        <v>117</v>
      </c>
    </row>
    <row r="32" spans="1:4" x14ac:dyDescent="0.15">
      <c r="B32" t="s">
        <v>223</v>
      </c>
    </row>
    <row r="33" spans="2:2" x14ac:dyDescent="0.15">
      <c r="B33" s="58" t="s">
        <v>224</v>
      </c>
    </row>
  </sheetData>
  <phoneticPr fontId="2"/>
  <pageMargins left="0.25" right="0.25" top="0.75" bottom="0.75" header="0.3" footer="0.3"/>
  <pageSetup paperSize="9"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Normal="100" workbookViewId="0">
      <selection activeCell="B17" sqref="B1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216" t="s">
        <v>594</v>
      </c>
    </row>
    <row r="3" spans="1:4" x14ac:dyDescent="0.15">
      <c r="A3" s="50">
        <v>2</v>
      </c>
      <c r="B3" s="382" t="s">
        <v>595</v>
      </c>
      <c r="C3" s="50" t="s">
        <v>78</v>
      </c>
      <c r="D3" s="50" t="s">
        <v>81</v>
      </c>
    </row>
    <row r="4" spans="1:4" x14ac:dyDescent="0.15">
      <c r="A4" s="50">
        <v>3</v>
      </c>
      <c r="B4" s="216">
        <v>1069000</v>
      </c>
      <c r="C4" s="216" t="s">
        <v>53</v>
      </c>
      <c r="D4" s="50" t="s">
        <v>82</v>
      </c>
    </row>
    <row r="5" spans="1:4" x14ac:dyDescent="0.15">
      <c r="A5" s="50">
        <v>4</v>
      </c>
      <c r="B5" s="216">
        <v>1070000</v>
      </c>
      <c r="C5" s="216" t="s">
        <v>53</v>
      </c>
      <c r="D5" s="50" t="s">
        <v>83</v>
      </c>
    </row>
    <row r="6" spans="1:4" x14ac:dyDescent="0.15">
      <c r="A6" s="50">
        <v>5</v>
      </c>
      <c r="B6" s="216">
        <v>1072000</v>
      </c>
      <c r="C6" s="216" t="s">
        <v>53</v>
      </c>
      <c r="D6" s="50" t="s">
        <v>84</v>
      </c>
    </row>
    <row r="7" spans="1:4" x14ac:dyDescent="0.15">
      <c r="A7" s="50">
        <v>6</v>
      </c>
      <c r="B7" s="216">
        <v>1074000</v>
      </c>
      <c r="C7" s="216" t="s">
        <v>53</v>
      </c>
      <c r="D7" s="50" t="s">
        <v>85</v>
      </c>
    </row>
    <row r="8" spans="1:4" x14ac:dyDescent="0.15">
      <c r="A8" s="50">
        <v>7</v>
      </c>
      <c r="B8" s="382" t="s">
        <v>596</v>
      </c>
      <c r="C8" s="50" t="s">
        <v>78</v>
      </c>
      <c r="D8" s="50" t="s">
        <v>86</v>
      </c>
    </row>
    <row r="9" spans="1:4" x14ac:dyDescent="0.15">
      <c r="A9" s="50">
        <v>8</v>
      </c>
      <c r="B9" s="382" t="s">
        <v>597</v>
      </c>
      <c r="C9" s="50" t="s">
        <v>78</v>
      </c>
      <c r="D9" s="50" t="s">
        <v>87</v>
      </c>
    </row>
    <row r="10" spans="1:4" x14ac:dyDescent="0.15">
      <c r="A10" s="50">
        <v>9</v>
      </c>
      <c r="B10" s="382" t="s">
        <v>598</v>
      </c>
      <c r="C10" s="50" t="s">
        <v>78</v>
      </c>
      <c r="D10" s="50" t="s">
        <v>88</v>
      </c>
    </row>
    <row r="11" spans="1:4" x14ac:dyDescent="0.15">
      <c r="A11" s="50">
        <v>10</v>
      </c>
      <c r="B11" s="382" t="s">
        <v>599</v>
      </c>
      <c r="C11" s="50" t="s">
        <v>78</v>
      </c>
      <c r="D11" s="216" t="s">
        <v>600</v>
      </c>
    </row>
    <row r="12" spans="1:4" x14ac:dyDescent="0.15">
      <c r="A12" s="50">
        <v>11</v>
      </c>
      <c r="B12" s="382" t="s">
        <v>601</v>
      </c>
      <c r="C12" s="50" t="s">
        <v>78</v>
      </c>
      <c r="D12" s="216" t="s">
        <v>602</v>
      </c>
    </row>
    <row r="13" spans="1:4" x14ac:dyDescent="0.15">
      <c r="A13" s="216">
        <v>12</v>
      </c>
      <c r="B13" s="382">
        <v>550000</v>
      </c>
      <c r="C13" s="216" t="s">
        <v>53</v>
      </c>
      <c r="D13" s="216" t="s">
        <v>603</v>
      </c>
    </row>
    <row r="14" spans="1:4" x14ac:dyDescent="0.15">
      <c r="A14" s="216">
        <v>13</v>
      </c>
      <c r="B14" s="382">
        <v>-100000</v>
      </c>
      <c r="C14" s="216" t="s">
        <v>53</v>
      </c>
      <c r="D14" s="216" t="s">
        <v>604</v>
      </c>
    </row>
    <row r="15" spans="1:4" x14ac:dyDescent="0.15">
      <c r="A15" s="216">
        <v>14</v>
      </c>
      <c r="B15" s="382">
        <v>80000</v>
      </c>
      <c r="C15" s="216" t="s">
        <v>53</v>
      </c>
      <c r="D15" s="216" t="s">
        <v>605</v>
      </c>
    </row>
    <row r="16" spans="1:4" x14ac:dyDescent="0.15">
      <c r="A16" s="216">
        <v>15</v>
      </c>
      <c r="B16" s="382">
        <v>440000</v>
      </c>
      <c r="C16" s="216" t="s">
        <v>53</v>
      </c>
      <c r="D16" s="216" t="s">
        <v>606</v>
      </c>
    </row>
    <row r="17" spans="1:4" x14ac:dyDescent="0.15">
      <c r="A17" s="216">
        <v>16</v>
      </c>
      <c r="B17" s="382">
        <v>1100000</v>
      </c>
      <c r="C17" s="216" t="s">
        <v>53</v>
      </c>
      <c r="D17" s="216" t="s">
        <v>607</v>
      </c>
    </row>
    <row r="18" spans="1:4" x14ac:dyDescent="0.15">
      <c r="A18" s="216">
        <v>17</v>
      </c>
      <c r="B18" s="382">
        <v>1950000</v>
      </c>
      <c r="C18" s="216" t="s">
        <v>53</v>
      </c>
      <c r="D18" s="216" t="s">
        <v>608</v>
      </c>
    </row>
    <row r="19" spans="1:4" x14ac:dyDescent="0.15">
      <c r="A19" s="216">
        <v>18</v>
      </c>
      <c r="B19" s="382">
        <v>0.6</v>
      </c>
      <c r="C19" s="216" t="s">
        <v>53</v>
      </c>
      <c r="D19" s="216" t="s">
        <v>604</v>
      </c>
    </row>
    <row r="20" spans="1:4" x14ac:dyDescent="0.15">
      <c r="A20" s="216">
        <v>19</v>
      </c>
      <c r="B20" s="382">
        <v>0.7</v>
      </c>
      <c r="C20" s="216" t="s">
        <v>53</v>
      </c>
      <c r="D20" s="216" t="s">
        <v>605</v>
      </c>
    </row>
    <row r="21" spans="1:4" x14ac:dyDescent="0.15">
      <c r="A21" s="216">
        <v>20</v>
      </c>
      <c r="B21" s="382">
        <v>0.8</v>
      </c>
      <c r="C21" s="216" t="s">
        <v>53</v>
      </c>
      <c r="D21" s="216" t="s">
        <v>606</v>
      </c>
    </row>
    <row r="22" spans="1:4" x14ac:dyDescent="0.15">
      <c r="A22" s="216">
        <v>21</v>
      </c>
      <c r="B22" s="382">
        <v>0.9</v>
      </c>
      <c r="C22" s="216" t="s">
        <v>53</v>
      </c>
      <c r="D22" s="216" t="s">
        <v>607</v>
      </c>
    </row>
    <row r="23" spans="1:4" x14ac:dyDescent="0.15">
      <c r="A23" s="50">
        <v>1</v>
      </c>
      <c r="B23" s="49">
        <v>65</v>
      </c>
      <c r="C23" s="50" t="s">
        <v>53</v>
      </c>
      <c r="D23" s="53" t="s">
        <v>93</v>
      </c>
    </row>
    <row r="24" spans="1:4" x14ac:dyDescent="0.15">
      <c r="A24" s="50">
        <v>2</v>
      </c>
      <c r="B24" s="49">
        <v>3300000</v>
      </c>
      <c r="C24" s="50" t="s">
        <v>53</v>
      </c>
      <c r="D24" s="53" t="s">
        <v>94</v>
      </c>
    </row>
    <row r="25" spans="1:4" x14ac:dyDescent="0.15">
      <c r="A25" s="50">
        <v>3</v>
      </c>
      <c r="B25" s="49">
        <v>4100000</v>
      </c>
      <c r="C25" s="50" t="s">
        <v>53</v>
      </c>
      <c r="D25" s="53" t="s">
        <v>95</v>
      </c>
    </row>
    <row r="26" spans="1:4" x14ac:dyDescent="0.15">
      <c r="A26" s="50">
        <v>4</v>
      </c>
      <c r="B26" s="49">
        <v>7700000</v>
      </c>
      <c r="C26" s="50" t="s">
        <v>53</v>
      </c>
      <c r="D26" s="53" t="s">
        <v>96</v>
      </c>
    </row>
    <row r="27" spans="1:4" x14ac:dyDescent="0.15">
      <c r="A27" s="50">
        <v>5</v>
      </c>
      <c r="B27" s="49">
        <v>10000000</v>
      </c>
      <c r="C27" s="50" t="s">
        <v>53</v>
      </c>
      <c r="D27" s="53" t="s">
        <v>97</v>
      </c>
    </row>
    <row r="28" spans="1:4" x14ac:dyDescent="0.15">
      <c r="A28" s="50">
        <v>6</v>
      </c>
      <c r="B28" s="49">
        <v>1300000</v>
      </c>
      <c r="C28" s="50" t="s">
        <v>53</v>
      </c>
      <c r="D28" s="53" t="s">
        <v>98</v>
      </c>
    </row>
    <row r="29" spans="1:4" x14ac:dyDescent="0.15">
      <c r="A29" s="50">
        <v>7</v>
      </c>
      <c r="B29" s="49">
        <v>4100000</v>
      </c>
      <c r="C29" s="50" t="s">
        <v>53</v>
      </c>
      <c r="D29" s="53" t="s">
        <v>99</v>
      </c>
    </row>
    <row r="30" spans="1:4" x14ac:dyDescent="0.15">
      <c r="A30" s="50">
        <v>8</v>
      </c>
      <c r="B30" s="49">
        <v>7700000</v>
      </c>
      <c r="C30" s="50" t="s">
        <v>53</v>
      </c>
      <c r="D30" s="53" t="s">
        <v>100</v>
      </c>
    </row>
    <row r="31" spans="1:4" x14ac:dyDescent="0.15">
      <c r="A31" s="50">
        <v>9</v>
      </c>
      <c r="B31" s="49">
        <v>10000000</v>
      </c>
      <c r="C31" s="50" t="s">
        <v>53</v>
      </c>
      <c r="D31" s="53" t="s">
        <v>101</v>
      </c>
    </row>
    <row r="32" spans="1:4" x14ac:dyDescent="0.15">
      <c r="A32" s="50">
        <v>10</v>
      </c>
      <c r="B32" s="49" t="s">
        <v>102</v>
      </c>
      <c r="C32" s="50" t="s">
        <v>53</v>
      </c>
      <c r="D32" s="53" t="s">
        <v>103</v>
      </c>
    </row>
    <row r="33" spans="1:4" x14ac:dyDescent="0.15">
      <c r="A33" s="50">
        <v>11</v>
      </c>
      <c r="B33" s="49" t="s">
        <v>104</v>
      </c>
      <c r="C33" s="50" t="s">
        <v>53</v>
      </c>
      <c r="D33" s="53" t="s">
        <v>105</v>
      </c>
    </row>
    <row r="34" spans="1:4" x14ac:dyDescent="0.15">
      <c r="A34" s="50">
        <v>12</v>
      </c>
      <c r="B34" s="49" t="s">
        <v>106</v>
      </c>
      <c r="C34" s="50" t="s">
        <v>53</v>
      </c>
      <c r="D34" s="53" t="s">
        <v>107</v>
      </c>
    </row>
    <row r="35" spans="1:4" x14ac:dyDescent="0.15">
      <c r="A35" s="50">
        <v>13</v>
      </c>
      <c r="B35" s="49" t="s">
        <v>108</v>
      </c>
      <c r="C35" s="50" t="s">
        <v>53</v>
      </c>
      <c r="D35" s="53" t="s">
        <v>109</v>
      </c>
    </row>
    <row r="36" spans="1:4" x14ac:dyDescent="0.15">
      <c r="A36" s="50">
        <v>14</v>
      </c>
      <c r="B36" s="49" t="s">
        <v>110</v>
      </c>
      <c r="C36" s="50" t="s">
        <v>53</v>
      </c>
      <c r="D36" s="53" t="s">
        <v>111</v>
      </c>
    </row>
    <row r="37" spans="1:4" x14ac:dyDescent="0.15">
      <c r="A37" s="50">
        <v>15</v>
      </c>
      <c r="B37" s="49" t="s">
        <v>112</v>
      </c>
      <c r="C37" s="50" t="s">
        <v>53</v>
      </c>
      <c r="D37" s="53" t="s">
        <v>113</v>
      </c>
    </row>
    <row r="38" spans="1:4" x14ac:dyDescent="0.15">
      <c r="A38" s="50">
        <v>16</v>
      </c>
      <c r="B38" s="49" t="s">
        <v>104</v>
      </c>
      <c r="C38" s="50" t="s">
        <v>53</v>
      </c>
      <c r="D38" s="53" t="s">
        <v>114</v>
      </c>
    </row>
    <row r="39" spans="1:4" x14ac:dyDescent="0.15">
      <c r="A39" s="50">
        <v>17</v>
      </c>
      <c r="B39" s="49" t="s">
        <v>106</v>
      </c>
      <c r="C39" s="50" t="s">
        <v>53</v>
      </c>
      <c r="D39" s="53" t="s">
        <v>115</v>
      </c>
    </row>
    <row r="40" spans="1:4" x14ac:dyDescent="0.15">
      <c r="A40" s="50">
        <v>18</v>
      </c>
      <c r="B40" s="49" t="s">
        <v>108</v>
      </c>
      <c r="C40" s="50" t="s">
        <v>53</v>
      </c>
      <c r="D40" s="53" t="s">
        <v>116</v>
      </c>
    </row>
    <row r="41" spans="1:4" x14ac:dyDescent="0.15">
      <c r="A41" s="50">
        <v>19</v>
      </c>
      <c r="B41" s="49" t="s">
        <v>110</v>
      </c>
      <c r="C41" s="50" t="s">
        <v>53</v>
      </c>
      <c r="D41" s="53" t="s">
        <v>117</v>
      </c>
    </row>
    <row r="42" spans="1:4" x14ac:dyDescent="0.15">
      <c r="B42" t="s">
        <v>223</v>
      </c>
    </row>
    <row r="43" spans="1:4" x14ac:dyDescent="0.15">
      <c r="B43" s="58"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46" zoomScaleNormal="100" workbookViewId="0">
      <selection activeCell="B7" sqref="B7"/>
    </sheetView>
  </sheetViews>
  <sheetFormatPr defaultRowHeight="13.5" x14ac:dyDescent="0.15"/>
  <cols>
    <col min="4" max="4" width="45" style="57" bestFit="1" customWidth="1"/>
  </cols>
  <sheetData>
    <row r="1" spans="1:5" x14ac:dyDescent="0.15">
      <c r="A1" s="50" t="s">
        <v>170</v>
      </c>
      <c r="B1" s="50" t="s">
        <v>50</v>
      </c>
      <c r="C1" s="50" t="s">
        <v>51</v>
      </c>
      <c r="D1" s="49" t="s">
        <v>52</v>
      </c>
    </row>
    <row r="2" spans="1:5" x14ac:dyDescent="0.15">
      <c r="A2" s="50">
        <v>1</v>
      </c>
      <c r="B2" s="50">
        <v>330000</v>
      </c>
      <c r="C2" s="50" t="s">
        <v>53</v>
      </c>
      <c r="D2" s="49" t="s">
        <v>31</v>
      </c>
    </row>
    <row r="3" spans="1:5" x14ac:dyDescent="0.15">
      <c r="A3" s="50">
        <v>2</v>
      </c>
      <c r="B3" s="50">
        <v>330000</v>
      </c>
      <c r="C3" s="50" t="s">
        <v>53</v>
      </c>
      <c r="D3" s="49" t="s">
        <v>118</v>
      </c>
      <c r="E3" t="s">
        <v>225</v>
      </c>
    </row>
    <row r="4" spans="1:5" x14ac:dyDescent="0.15">
      <c r="A4" s="50">
        <v>3</v>
      </c>
      <c r="B4" s="50">
        <v>220000</v>
      </c>
      <c r="C4" s="50" t="s">
        <v>53</v>
      </c>
      <c r="D4" s="49" t="s">
        <v>119</v>
      </c>
      <c r="E4" t="s">
        <v>226</v>
      </c>
    </row>
    <row r="5" spans="1:5" x14ac:dyDescent="0.15">
      <c r="A5" s="50">
        <v>4</v>
      </c>
      <c r="B5" s="50">
        <v>110000</v>
      </c>
      <c r="C5" s="50" t="s">
        <v>53</v>
      </c>
      <c r="D5" s="49" t="s">
        <v>120</v>
      </c>
      <c r="E5" t="s">
        <v>227</v>
      </c>
    </row>
    <row r="6" spans="1:5" x14ac:dyDescent="0.15">
      <c r="A6" s="50">
        <v>5</v>
      </c>
      <c r="B6" s="50">
        <v>380000</v>
      </c>
      <c r="C6" s="50" t="s">
        <v>53</v>
      </c>
      <c r="D6" s="49" t="s">
        <v>121</v>
      </c>
    </row>
    <row r="7" spans="1:5" x14ac:dyDescent="0.15">
      <c r="A7" s="50">
        <v>6</v>
      </c>
      <c r="B7" s="50">
        <v>260000</v>
      </c>
      <c r="C7" s="50" t="s">
        <v>53</v>
      </c>
      <c r="D7" s="49" t="s">
        <v>122</v>
      </c>
    </row>
    <row r="8" spans="1:5" x14ac:dyDescent="0.15">
      <c r="A8" s="50">
        <v>7</v>
      </c>
      <c r="B8" s="50">
        <v>130000</v>
      </c>
      <c r="C8" s="50" t="s">
        <v>53</v>
      </c>
      <c r="D8" s="49" t="s">
        <v>123</v>
      </c>
    </row>
    <row r="9" spans="1:5" x14ac:dyDescent="0.15">
      <c r="A9" s="50">
        <v>8</v>
      </c>
      <c r="B9" s="50">
        <v>330000</v>
      </c>
      <c r="C9" s="50" t="s">
        <v>53</v>
      </c>
      <c r="D9" s="49" t="s">
        <v>124</v>
      </c>
      <c r="E9" t="s">
        <v>228</v>
      </c>
    </row>
    <row r="10" spans="1:5" x14ac:dyDescent="0.15">
      <c r="A10" s="50">
        <v>9</v>
      </c>
      <c r="B10" s="50">
        <v>330000</v>
      </c>
      <c r="C10" s="50" t="s">
        <v>53</v>
      </c>
      <c r="D10" s="49" t="s">
        <v>125</v>
      </c>
      <c r="E10" t="s">
        <v>229</v>
      </c>
    </row>
    <row r="11" spans="1:5" x14ac:dyDescent="0.15">
      <c r="A11" s="50">
        <v>10</v>
      </c>
      <c r="B11" s="50">
        <v>330000</v>
      </c>
      <c r="C11" s="50" t="s">
        <v>53</v>
      </c>
      <c r="D11" s="49" t="s">
        <v>126</v>
      </c>
      <c r="E11" t="s">
        <v>230</v>
      </c>
    </row>
    <row r="12" spans="1:5" x14ac:dyDescent="0.15">
      <c r="A12" s="50">
        <v>11</v>
      </c>
      <c r="B12" s="50">
        <v>310000</v>
      </c>
      <c r="C12" s="50" t="s">
        <v>53</v>
      </c>
      <c r="D12" s="49" t="s">
        <v>127</v>
      </c>
      <c r="E12" t="s">
        <v>231</v>
      </c>
    </row>
    <row r="13" spans="1:5" x14ac:dyDescent="0.15">
      <c r="A13" s="50">
        <v>12</v>
      </c>
      <c r="B13" s="50">
        <v>260000</v>
      </c>
      <c r="C13" s="50" t="s">
        <v>53</v>
      </c>
      <c r="D13" s="49" t="s">
        <v>128</v>
      </c>
      <c r="E13" t="s">
        <v>232</v>
      </c>
    </row>
    <row r="14" spans="1:5" x14ac:dyDescent="0.15">
      <c r="A14" s="50">
        <v>13</v>
      </c>
      <c r="B14" s="50">
        <v>210000</v>
      </c>
      <c r="C14" s="50" t="s">
        <v>53</v>
      </c>
      <c r="D14" s="49" t="s">
        <v>129</v>
      </c>
      <c r="E14" t="s">
        <v>233</v>
      </c>
    </row>
    <row r="15" spans="1:5" x14ac:dyDescent="0.15">
      <c r="A15" s="50">
        <v>14</v>
      </c>
      <c r="B15" s="50">
        <v>160000</v>
      </c>
      <c r="C15" s="50" t="s">
        <v>53</v>
      </c>
      <c r="D15" s="49" t="s">
        <v>130</v>
      </c>
      <c r="E15" t="s">
        <v>234</v>
      </c>
    </row>
    <row r="16" spans="1:5" x14ac:dyDescent="0.15">
      <c r="A16" s="50">
        <v>15</v>
      </c>
      <c r="B16" s="50">
        <v>110000</v>
      </c>
      <c r="C16" s="50" t="s">
        <v>53</v>
      </c>
      <c r="D16" s="49" t="s">
        <v>131</v>
      </c>
      <c r="E16" t="s">
        <v>235</v>
      </c>
    </row>
    <row r="17" spans="1:5" x14ac:dyDescent="0.15">
      <c r="A17" s="50">
        <v>16</v>
      </c>
      <c r="B17" s="50">
        <v>60000</v>
      </c>
      <c r="C17" s="50" t="s">
        <v>53</v>
      </c>
      <c r="D17" s="49" t="s">
        <v>132</v>
      </c>
      <c r="E17" t="s">
        <v>236</v>
      </c>
    </row>
    <row r="18" spans="1:5" x14ac:dyDescent="0.15">
      <c r="A18" s="50">
        <v>17</v>
      </c>
      <c r="B18" s="50">
        <v>30000</v>
      </c>
      <c r="C18" s="50" t="s">
        <v>53</v>
      </c>
      <c r="D18" s="49" t="s">
        <v>133</v>
      </c>
      <c r="E18" t="s">
        <v>237</v>
      </c>
    </row>
    <row r="19" spans="1:5" x14ac:dyDescent="0.15">
      <c r="A19" s="50">
        <v>18</v>
      </c>
      <c r="B19" s="50">
        <v>220000</v>
      </c>
      <c r="C19" s="50" t="s">
        <v>53</v>
      </c>
      <c r="D19" s="49" t="s">
        <v>134</v>
      </c>
      <c r="E19" t="s">
        <v>238</v>
      </c>
    </row>
    <row r="20" spans="1:5" x14ac:dyDescent="0.15">
      <c r="A20" s="50">
        <v>19</v>
      </c>
      <c r="B20" s="50">
        <v>220000</v>
      </c>
      <c r="C20" s="50" t="s">
        <v>53</v>
      </c>
      <c r="D20" s="49" t="s">
        <v>135</v>
      </c>
      <c r="E20" t="s">
        <v>239</v>
      </c>
    </row>
    <row r="21" spans="1:5" x14ac:dyDescent="0.15">
      <c r="A21" s="50">
        <v>20</v>
      </c>
      <c r="B21" s="50">
        <v>220000</v>
      </c>
      <c r="C21" s="50" t="s">
        <v>53</v>
      </c>
      <c r="D21" s="49" t="s">
        <v>136</v>
      </c>
      <c r="E21" t="s">
        <v>240</v>
      </c>
    </row>
    <row r="22" spans="1:5" x14ac:dyDescent="0.15">
      <c r="A22" s="50">
        <v>21</v>
      </c>
      <c r="B22" s="50">
        <v>210000</v>
      </c>
      <c r="C22" s="50" t="s">
        <v>53</v>
      </c>
      <c r="D22" s="49" t="s">
        <v>137</v>
      </c>
      <c r="E22" t="s">
        <v>241</v>
      </c>
    </row>
    <row r="23" spans="1:5" x14ac:dyDescent="0.15">
      <c r="A23" s="50">
        <v>22</v>
      </c>
      <c r="B23" s="50">
        <v>180000</v>
      </c>
      <c r="C23" s="50" t="s">
        <v>53</v>
      </c>
      <c r="D23" s="49" t="s">
        <v>138</v>
      </c>
      <c r="E23" t="s">
        <v>242</v>
      </c>
    </row>
    <row r="24" spans="1:5" x14ac:dyDescent="0.15">
      <c r="A24" s="50">
        <v>23</v>
      </c>
      <c r="B24" s="50">
        <v>140000</v>
      </c>
      <c r="C24" s="50" t="s">
        <v>53</v>
      </c>
      <c r="D24" s="49" t="s">
        <v>139</v>
      </c>
      <c r="E24" t="s">
        <v>243</v>
      </c>
    </row>
    <row r="25" spans="1:5" x14ac:dyDescent="0.15">
      <c r="A25" s="50">
        <v>24</v>
      </c>
      <c r="B25" s="50">
        <v>110000</v>
      </c>
      <c r="C25" s="50" t="s">
        <v>53</v>
      </c>
      <c r="D25" s="49" t="s">
        <v>140</v>
      </c>
      <c r="E25" t="s">
        <v>244</v>
      </c>
    </row>
    <row r="26" spans="1:5" x14ac:dyDescent="0.15">
      <c r="A26" s="50">
        <v>25</v>
      </c>
      <c r="B26" s="50">
        <v>80000</v>
      </c>
      <c r="C26" s="50" t="s">
        <v>53</v>
      </c>
      <c r="D26" s="49" t="s">
        <v>141</v>
      </c>
      <c r="E26" t="s">
        <v>245</v>
      </c>
    </row>
    <row r="27" spans="1:5" x14ac:dyDescent="0.15">
      <c r="A27" s="50">
        <v>26</v>
      </c>
      <c r="B27" s="50">
        <v>40000</v>
      </c>
      <c r="C27" s="50" t="s">
        <v>53</v>
      </c>
      <c r="D27" s="49" t="s">
        <v>142</v>
      </c>
      <c r="E27" t="s">
        <v>246</v>
      </c>
    </row>
    <row r="28" spans="1:5" x14ac:dyDescent="0.15">
      <c r="A28" s="50">
        <v>27</v>
      </c>
      <c r="B28" s="50">
        <v>20000</v>
      </c>
      <c r="C28" s="50" t="s">
        <v>53</v>
      </c>
      <c r="D28" s="49" t="s">
        <v>143</v>
      </c>
      <c r="E28" t="s">
        <v>247</v>
      </c>
    </row>
    <row r="29" spans="1:5" x14ac:dyDescent="0.15">
      <c r="A29" s="50">
        <v>28</v>
      </c>
      <c r="B29" s="50">
        <v>110000</v>
      </c>
      <c r="C29" s="50" t="s">
        <v>53</v>
      </c>
      <c r="D29" s="49" t="s">
        <v>144</v>
      </c>
      <c r="E29" t="s">
        <v>248</v>
      </c>
    </row>
    <row r="30" spans="1:5" x14ac:dyDescent="0.15">
      <c r="A30" s="50">
        <v>29</v>
      </c>
      <c r="B30" s="50">
        <v>110000</v>
      </c>
      <c r="C30" s="50" t="s">
        <v>53</v>
      </c>
      <c r="D30" s="49" t="s">
        <v>145</v>
      </c>
      <c r="E30" t="s">
        <v>249</v>
      </c>
    </row>
    <row r="31" spans="1:5" x14ac:dyDescent="0.15">
      <c r="A31" s="50">
        <v>30</v>
      </c>
      <c r="B31" s="50">
        <v>110000</v>
      </c>
      <c r="C31" s="50" t="s">
        <v>53</v>
      </c>
      <c r="D31" s="49" t="s">
        <v>146</v>
      </c>
      <c r="E31" t="s">
        <v>250</v>
      </c>
    </row>
    <row r="32" spans="1:5" x14ac:dyDescent="0.15">
      <c r="A32" s="50">
        <v>31</v>
      </c>
      <c r="B32" s="50">
        <v>110000</v>
      </c>
      <c r="C32" s="50" t="s">
        <v>53</v>
      </c>
      <c r="D32" s="49" t="s">
        <v>147</v>
      </c>
      <c r="E32" t="s">
        <v>251</v>
      </c>
    </row>
    <row r="33" spans="1:5" x14ac:dyDescent="0.15">
      <c r="A33" s="50">
        <v>32</v>
      </c>
      <c r="B33" s="50">
        <v>90000</v>
      </c>
      <c r="C33" s="50" t="s">
        <v>53</v>
      </c>
      <c r="D33" s="49" t="s">
        <v>148</v>
      </c>
      <c r="E33" t="s">
        <v>252</v>
      </c>
    </row>
    <row r="34" spans="1:5" x14ac:dyDescent="0.15">
      <c r="A34" s="50">
        <v>33</v>
      </c>
      <c r="B34" s="50">
        <v>70000</v>
      </c>
      <c r="C34" s="50" t="s">
        <v>53</v>
      </c>
      <c r="D34" s="49" t="s">
        <v>149</v>
      </c>
      <c r="E34" t="s">
        <v>253</v>
      </c>
    </row>
    <row r="35" spans="1:5" x14ac:dyDescent="0.15">
      <c r="A35" s="50">
        <v>34</v>
      </c>
      <c r="B35" s="50">
        <v>60000</v>
      </c>
      <c r="C35" s="50" t="s">
        <v>53</v>
      </c>
      <c r="D35" s="49" t="s">
        <v>150</v>
      </c>
      <c r="E35" t="s">
        <v>254</v>
      </c>
    </row>
    <row r="36" spans="1:5" x14ac:dyDescent="0.15">
      <c r="A36" s="50">
        <v>35</v>
      </c>
      <c r="B36" s="50">
        <v>40000</v>
      </c>
      <c r="C36" s="50" t="s">
        <v>53</v>
      </c>
      <c r="D36" s="49" t="s">
        <v>151</v>
      </c>
      <c r="E36" t="s">
        <v>255</v>
      </c>
    </row>
    <row r="37" spans="1:5" x14ac:dyDescent="0.15">
      <c r="A37" s="50">
        <v>36</v>
      </c>
      <c r="B37" s="50">
        <v>20000</v>
      </c>
      <c r="C37" s="50" t="s">
        <v>53</v>
      </c>
      <c r="D37" s="49" t="s">
        <v>152</v>
      </c>
      <c r="E37" t="s">
        <v>256</v>
      </c>
    </row>
    <row r="38" spans="1:5" x14ac:dyDescent="0.15">
      <c r="A38" s="50">
        <v>37</v>
      </c>
      <c r="B38" s="50">
        <v>10000</v>
      </c>
      <c r="C38" s="50" t="s">
        <v>53</v>
      </c>
      <c r="D38" s="49" t="s">
        <v>153</v>
      </c>
      <c r="E38" t="s">
        <v>257</v>
      </c>
    </row>
    <row r="39" spans="1:5" x14ac:dyDescent="0.15">
      <c r="A39" s="50">
        <v>38</v>
      </c>
      <c r="B39" s="50">
        <v>330000</v>
      </c>
      <c r="C39" s="50" t="s">
        <v>53</v>
      </c>
      <c r="D39" s="49" t="s">
        <v>18</v>
      </c>
    </row>
    <row r="40" spans="1:5" x14ac:dyDescent="0.15">
      <c r="A40" s="50">
        <v>39</v>
      </c>
      <c r="B40" s="50">
        <v>450000</v>
      </c>
      <c r="C40" s="50" t="s">
        <v>53</v>
      </c>
      <c r="D40" s="49" t="s">
        <v>19</v>
      </c>
    </row>
    <row r="41" spans="1:5" x14ac:dyDescent="0.15">
      <c r="A41" s="50">
        <v>40</v>
      </c>
      <c r="B41" s="50">
        <v>380000</v>
      </c>
      <c r="C41" s="50" t="s">
        <v>53</v>
      </c>
      <c r="D41" s="49" t="s">
        <v>20</v>
      </c>
    </row>
    <row r="42" spans="1:5" x14ac:dyDescent="0.15">
      <c r="A42" s="50">
        <v>41</v>
      </c>
      <c r="B42" s="50">
        <v>450000</v>
      </c>
      <c r="C42" s="50" t="s">
        <v>53</v>
      </c>
      <c r="D42" s="49" t="s">
        <v>154</v>
      </c>
    </row>
    <row r="43" spans="1:5" x14ac:dyDescent="0.15">
      <c r="A43" s="50">
        <v>42</v>
      </c>
      <c r="B43" s="50">
        <v>0</v>
      </c>
      <c r="C43" s="50" t="s">
        <v>53</v>
      </c>
      <c r="D43" s="49" t="s">
        <v>155</v>
      </c>
    </row>
    <row r="44" spans="1:5" x14ac:dyDescent="0.15">
      <c r="A44" s="50">
        <v>43</v>
      </c>
      <c r="B44" s="50">
        <v>260000</v>
      </c>
      <c r="C44" s="50" t="s">
        <v>53</v>
      </c>
      <c r="D44" s="49" t="s">
        <v>22</v>
      </c>
    </row>
    <row r="45" spans="1:5" x14ac:dyDescent="0.15">
      <c r="A45" s="50">
        <v>44</v>
      </c>
      <c r="B45" s="50">
        <v>300000</v>
      </c>
      <c r="C45" s="50" t="s">
        <v>53</v>
      </c>
      <c r="D45" s="49" t="s">
        <v>23</v>
      </c>
    </row>
    <row r="46" spans="1:5" x14ac:dyDescent="0.15">
      <c r="A46" s="50">
        <v>45</v>
      </c>
      <c r="B46" s="50">
        <v>530000</v>
      </c>
      <c r="C46" s="50" t="s">
        <v>53</v>
      </c>
      <c r="D46" s="49" t="s">
        <v>24</v>
      </c>
    </row>
    <row r="47" spans="1:5" x14ac:dyDescent="0.15">
      <c r="A47" s="50">
        <v>46</v>
      </c>
      <c r="B47" s="50">
        <v>260000</v>
      </c>
      <c r="C47" s="50" t="s">
        <v>53</v>
      </c>
      <c r="D47" s="49" t="s">
        <v>25</v>
      </c>
    </row>
    <row r="48" spans="1:5" x14ac:dyDescent="0.15">
      <c r="A48" s="50">
        <v>47</v>
      </c>
      <c r="B48" s="50">
        <v>300000</v>
      </c>
      <c r="C48" s="50" t="s">
        <v>53</v>
      </c>
      <c r="D48" s="49" t="s">
        <v>156</v>
      </c>
    </row>
    <row r="49" spans="1:4" x14ac:dyDescent="0.15">
      <c r="A49" s="50">
        <v>48</v>
      </c>
      <c r="B49" s="50">
        <v>260000</v>
      </c>
      <c r="C49" s="50" t="s">
        <v>53</v>
      </c>
      <c r="D49" s="49" t="s">
        <v>27</v>
      </c>
    </row>
    <row r="50" spans="1:4" x14ac:dyDescent="0.15">
      <c r="A50" s="50">
        <v>49</v>
      </c>
      <c r="B50" s="50">
        <v>260000</v>
      </c>
      <c r="C50" s="50" t="s">
        <v>53</v>
      </c>
      <c r="D50" s="49" t="s">
        <v>157</v>
      </c>
    </row>
    <row r="51" spans="1:4" x14ac:dyDescent="0.15">
      <c r="A51" s="50">
        <v>50</v>
      </c>
      <c r="B51" s="50">
        <v>350000</v>
      </c>
      <c r="C51" s="50" t="s">
        <v>53</v>
      </c>
      <c r="D51" s="49" t="s">
        <v>158</v>
      </c>
    </row>
    <row r="52" spans="1:4" x14ac:dyDescent="0.15">
      <c r="A52" s="50">
        <v>51</v>
      </c>
      <c r="B52" s="50">
        <v>320000</v>
      </c>
      <c r="C52" s="50" t="s">
        <v>53</v>
      </c>
      <c r="D52" s="49" t="s">
        <v>159</v>
      </c>
    </row>
    <row r="53" spans="1:4" x14ac:dyDescent="0.15">
      <c r="A53" s="50">
        <v>52</v>
      </c>
      <c r="B53" s="50">
        <v>1250000</v>
      </c>
      <c r="C53" s="50" t="s">
        <v>53</v>
      </c>
      <c r="D53" s="49" t="s">
        <v>160</v>
      </c>
    </row>
    <row r="54" spans="1:4" x14ac:dyDescent="0.15">
      <c r="A54" s="50">
        <v>53</v>
      </c>
      <c r="B54" s="50">
        <v>5000000</v>
      </c>
      <c r="C54" s="50" t="s">
        <v>53</v>
      </c>
      <c r="D54" s="49" t="s">
        <v>161</v>
      </c>
    </row>
    <row r="55" spans="1:4" x14ac:dyDescent="0.15">
      <c r="A55" s="49">
        <v>54</v>
      </c>
      <c r="B55" s="49">
        <v>150000</v>
      </c>
      <c r="C55" s="49" t="s">
        <v>53</v>
      </c>
      <c r="D55" s="51" t="s">
        <v>162</v>
      </c>
    </row>
    <row r="56" spans="1:4" x14ac:dyDescent="0.15">
      <c r="A56" s="51">
        <v>55</v>
      </c>
      <c r="B56" s="51">
        <v>100000</v>
      </c>
      <c r="C56" s="51" t="s">
        <v>53</v>
      </c>
      <c r="D56" s="51" t="s">
        <v>163</v>
      </c>
    </row>
    <row r="57" spans="1:4" x14ac:dyDescent="0.15">
      <c r="A57" s="54">
        <v>56</v>
      </c>
      <c r="B57" s="54">
        <v>650000</v>
      </c>
      <c r="C57" s="54" t="s">
        <v>53</v>
      </c>
      <c r="D57" s="55" t="s">
        <v>164</v>
      </c>
    </row>
    <row r="58" spans="1:4" x14ac:dyDescent="0.15">
      <c r="A58" s="383">
        <v>57</v>
      </c>
      <c r="B58" s="216">
        <v>290000</v>
      </c>
      <c r="C58" s="216" t="s">
        <v>53</v>
      </c>
      <c r="D58" s="216" t="s">
        <v>614</v>
      </c>
    </row>
    <row r="59" spans="1:4" x14ac:dyDescent="0.15">
      <c r="A59" s="384">
        <v>58</v>
      </c>
      <c r="B59" s="216">
        <v>150000</v>
      </c>
      <c r="C59" s="216" t="s">
        <v>53</v>
      </c>
      <c r="D59" s="216" t="s">
        <v>615</v>
      </c>
    </row>
  </sheetData>
  <phoneticPr fontId="2"/>
  <pageMargins left="0.7" right="0.7" top="0.75" bottom="0.75" header="0.3" footer="0.3"/>
  <pageSetup paperSize="9"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8" zoomScaleNormal="100" workbookViewId="0">
      <selection activeCell="B7" sqref="B7"/>
    </sheetView>
  </sheetViews>
  <sheetFormatPr defaultRowHeight="13.5" x14ac:dyDescent="0.15"/>
  <cols>
    <col min="2" max="2" width="11.625" bestFit="1" customWidth="1"/>
    <col min="4" max="4" width="45" style="57" bestFit="1" customWidth="1"/>
  </cols>
  <sheetData>
    <row r="1" spans="1:5" x14ac:dyDescent="0.15">
      <c r="A1" s="50" t="s">
        <v>170</v>
      </c>
      <c r="B1" s="50" t="s">
        <v>50</v>
      </c>
      <c r="C1" s="50" t="s">
        <v>51</v>
      </c>
      <c r="D1" s="49" t="s">
        <v>52</v>
      </c>
    </row>
    <row r="2" spans="1:5" x14ac:dyDescent="0.15">
      <c r="A2" s="50">
        <v>1</v>
      </c>
      <c r="B2" s="50">
        <v>50000</v>
      </c>
      <c r="C2" s="50" t="s">
        <v>53</v>
      </c>
      <c r="D2" s="49" t="s">
        <v>31</v>
      </c>
    </row>
    <row r="3" spans="1:5" x14ac:dyDescent="0.15">
      <c r="A3" s="50">
        <v>2</v>
      </c>
      <c r="B3" s="50">
        <v>50000</v>
      </c>
      <c r="C3" s="50" t="s">
        <v>53</v>
      </c>
      <c r="D3" s="49" t="s">
        <v>118</v>
      </c>
      <c r="E3" t="s">
        <v>258</v>
      </c>
    </row>
    <row r="4" spans="1:5" x14ac:dyDescent="0.15">
      <c r="A4" s="50">
        <v>3</v>
      </c>
      <c r="B4" s="50">
        <v>40000</v>
      </c>
      <c r="C4" s="50" t="s">
        <v>53</v>
      </c>
      <c r="D4" s="49" t="s">
        <v>119</v>
      </c>
      <c r="E4" t="s">
        <v>258</v>
      </c>
    </row>
    <row r="5" spans="1:5" x14ac:dyDescent="0.15">
      <c r="A5" s="50">
        <v>4</v>
      </c>
      <c r="B5" s="50">
        <v>20000</v>
      </c>
      <c r="C5" s="50" t="s">
        <v>53</v>
      </c>
      <c r="D5" s="49" t="s">
        <v>120</v>
      </c>
      <c r="E5" t="s">
        <v>258</v>
      </c>
    </row>
    <row r="6" spans="1:5" x14ac:dyDescent="0.15">
      <c r="A6" s="50">
        <v>5</v>
      </c>
      <c r="B6" s="50">
        <v>100000</v>
      </c>
      <c r="C6" s="50" t="s">
        <v>53</v>
      </c>
      <c r="D6" s="49" t="s">
        <v>121</v>
      </c>
    </row>
    <row r="7" spans="1:5" x14ac:dyDescent="0.15">
      <c r="A7" s="50">
        <v>6</v>
      </c>
      <c r="B7" s="50">
        <v>60000</v>
      </c>
      <c r="C7" s="50" t="s">
        <v>53</v>
      </c>
      <c r="D7" s="49" t="s">
        <v>122</v>
      </c>
    </row>
    <row r="8" spans="1:5" x14ac:dyDescent="0.15">
      <c r="A8" s="50">
        <v>7</v>
      </c>
      <c r="B8" s="50">
        <v>30000</v>
      </c>
      <c r="C8" s="50" t="s">
        <v>53</v>
      </c>
      <c r="D8" s="49" t="s">
        <v>123</v>
      </c>
    </row>
    <row r="9" spans="1:5" x14ac:dyDescent="0.15">
      <c r="A9" s="50">
        <v>8</v>
      </c>
      <c r="B9" s="50">
        <v>50000</v>
      </c>
      <c r="C9" s="50" t="s">
        <v>53</v>
      </c>
      <c r="D9" s="49" t="s">
        <v>124</v>
      </c>
      <c r="E9" t="s">
        <v>259</v>
      </c>
    </row>
    <row r="10" spans="1:5" x14ac:dyDescent="0.15">
      <c r="A10" s="50">
        <v>9</v>
      </c>
      <c r="B10" s="50">
        <v>30000</v>
      </c>
      <c r="C10" s="50" t="s">
        <v>53</v>
      </c>
      <c r="D10" s="49" t="s">
        <v>125</v>
      </c>
      <c r="E10" t="s">
        <v>260</v>
      </c>
    </row>
    <row r="11" spans="1:5" x14ac:dyDescent="0.15">
      <c r="A11" s="50">
        <v>10</v>
      </c>
      <c r="B11" s="50">
        <v>0</v>
      </c>
      <c r="C11" s="50" t="s">
        <v>53</v>
      </c>
      <c r="D11" s="49" t="s">
        <v>126</v>
      </c>
    </row>
    <row r="12" spans="1:5" x14ac:dyDescent="0.15">
      <c r="A12" s="50">
        <v>11</v>
      </c>
      <c r="B12" s="50">
        <v>0</v>
      </c>
      <c r="C12" s="50" t="s">
        <v>53</v>
      </c>
      <c r="D12" s="49" t="s">
        <v>127</v>
      </c>
    </row>
    <row r="13" spans="1:5" x14ac:dyDescent="0.15">
      <c r="A13" s="50">
        <v>12</v>
      </c>
      <c r="B13" s="50">
        <v>0</v>
      </c>
      <c r="C13" s="50" t="s">
        <v>53</v>
      </c>
      <c r="D13" s="49" t="s">
        <v>128</v>
      </c>
    </row>
    <row r="14" spans="1:5" x14ac:dyDescent="0.15">
      <c r="A14" s="50">
        <v>13</v>
      </c>
      <c r="B14" s="50">
        <v>0</v>
      </c>
      <c r="C14" s="50" t="s">
        <v>53</v>
      </c>
      <c r="D14" s="49" t="s">
        <v>129</v>
      </c>
    </row>
    <row r="15" spans="1:5" x14ac:dyDescent="0.15">
      <c r="A15" s="50">
        <v>14</v>
      </c>
      <c r="B15" s="50">
        <v>0</v>
      </c>
      <c r="C15" s="50" t="s">
        <v>53</v>
      </c>
      <c r="D15" s="49" t="s">
        <v>130</v>
      </c>
    </row>
    <row r="16" spans="1:5" x14ac:dyDescent="0.15">
      <c r="A16" s="50">
        <v>15</v>
      </c>
      <c r="B16" s="50">
        <v>0</v>
      </c>
      <c r="C16" s="50" t="s">
        <v>53</v>
      </c>
      <c r="D16" s="49" t="s">
        <v>131</v>
      </c>
    </row>
    <row r="17" spans="1:5" x14ac:dyDescent="0.15">
      <c r="A17" s="50">
        <v>16</v>
      </c>
      <c r="B17" s="50">
        <v>0</v>
      </c>
      <c r="C17" s="50" t="s">
        <v>53</v>
      </c>
      <c r="D17" s="49" t="s">
        <v>132</v>
      </c>
    </row>
    <row r="18" spans="1:5" x14ac:dyDescent="0.15">
      <c r="A18" s="50">
        <v>17</v>
      </c>
      <c r="B18" s="50">
        <v>0</v>
      </c>
      <c r="C18" s="50" t="s">
        <v>53</v>
      </c>
      <c r="D18" s="49" t="s">
        <v>133</v>
      </c>
    </row>
    <row r="19" spans="1:5" x14ac:dyDescent="0.15">
      <c r="A19" s="50">
        <v>18</v>
      </c>
      <c r="B19" s="50">
        <v>40000</v>
      </c>
      <c r="C19" s="50" t="s">
        <v>53</v>
      </c>
      <c r="D19" s="49" t="s">
        <v>134</v>
      </c>
      <c r="E19" t="s">
        <v>259</v>
      </c>
    </row>
    <row r="20" spans="1:5" x14ac:dyDescent="0.15">
      <c r="A20" s="50">
        <v>19</v>
      </c>
      <c r="B20" s="50">
        <v>20000</v>
      </c>
      <c r="C20" s="50" t="s">
        <v>53</v>
      </c>
      <c r="D20" s="49" t="s">
        <v>135</v>
      </c>
      <c r="E20" t="s">
        <v>260</v>
      </c>
    </row>
    <row r="21" spans="1:5" x14ac:dyDescent="0.15">
      <c r="A21" s="50">
        <v>20</v>
      </c>
      <c r="B21" s="50">
        <v>0</v>
      </c>
      <c r="C21" s="50" t="s">
        <v>53</v>
      </c>
      <c r="D21" s="49" t="s">
        <v>136</v>
      </c>
    </row>
    <row r="22" spans="1:5" x14ac:dyDescent="0.15">
      <c r="A22" s="50">
        <v>21</v>
      </c>
      <c r="B22" s="50">
        <v>0</v>
      </c>
      <c r="C22" s="50" t="s">
        <v>53</v>
      </c>
      <c r="D22" s="49" t="s">
        <v>137</v>
      </c>
    </row>
    <row r="23" spans="1:5" x14ac:dyDescent="0.15">
      <c r="A23" s="50">
        <v>22</v>
      </c>
      <c r="B23" s="50">
        <v>0</v>
      </c>
      <c r="C23" s="50" t="s">
        <v>53</v>
      </c>
      <c r="D23" s="49" t="s">
        <v>138</v>
      </c>
    </row>
    <row r="24" spans="1:5" x14ac:dyDescent="0.15">
      <c r="A24" s="50">
        <v>23</v>
      </c>
      <c r="B24" s="50">
        <v>0</v>
      </c>
      <c r="C24" s="50" t="s">
        <v>53</v>
      </c>
      <c r="D24" s="49" t="s">
        <v>139</v>
      </c>
    </row>
    <row r="25" spans="1:5" x14ac:dyDescent="0.15">
      <c r="A25" s="50">
        <v>24</v>
      </c>
      <c r="B25" s="50">
        <v>0</v>
      </c>
      <c r="C25" s="50" t="s">
        <v>53</v>
      </c>
      <c r="D25" s="49" t="s">
        <v>140</v>
      </c>
    </row>
    <row r="26" spans="1:5" x14ac:dyDescent="0.15">
      <c r="A26" s="50">
        <v>25</v>
      </c>
      <c r="B26" s="50">
        <v>0</v>
      </c>
      <c r="C26" s="50" t="s">
        <v>53</v>
      </c>
      <c r="D26" s="49" t="s">
        <v>141</v>
      </c>
    </row>
    <row r="27" spans="1:5" x14ac:dyDescent="0.15">
      <c r="A27" s="50">
        <v>26</v>
      </c>
      <c r="B27" s="50">
        <v>0</v>
      </c>
      <c r="C27" s="50" t="s">
        <v>53</v>
      </c>
      <c r="D27" s="49" t="s">
        <v>142</v>
      </c>
    </row>
    <row r="28" spans="1:5" x14ac:dyDescent="0.15">
      <c r="A28" s="50">
        <v>27</v>
      </c>
      <c r="B28" s="50">
        <v>0</v>
      </c>
      <c r="C28" s="50" t="s">
        <v>53</v>
      </c>
      <c r="D28" s="49" t="s">
        <v>143</v>
      </c>
    </row>
    <row r="29" spans="1:5" x14ac:dyDescent="0.15">
      <c r="A29" s="50">
        <v>28</v>
      </c>
      <c r="B29" s="50">
        <v>20000</v>
      </c>
      <c r="C29" s="50" t="s">
        <v>53</v>
      </c>
      <c r="D29" s="49" t="s">
        <v>144</v>
      </c>
      <c r="E29" t="s">
        <v>259</v>
      </c>
    </row>
    <row r="30" spans="1:5" x14ac:dyDescent="0.15">
      <c r="A30" s="50">
        <v>29</v>
      </c>
      <c r="B30" s="50">
        <v>10000</v>
      </c>
      <c r="C30" s="50" t="s">
        <v>53</v>
      </c>
      <c r="D30" s="49" t="s">
        <v>145</v>
      </c>
      <c r="E30" t="s">
        <v>260</v>
      </c>
    </row>
    <row r="31" spans="1:5" x14ac:dyDescent="0.15">
      <c r="A31" s="50">
        <v>30</v>
      </c>
      <c r="B31" s="50">
        <v>0</v>
      </c>
      <c r="C31" s="50" t="s">
        <v>53</v>
      </c>
      <c r="D31" s="49" t="s">
        <v>146</v>
      </c>
    </row>
    <row r="32" spans="1:5" x14ac:dyDescent="0.15">
      <c r="A32" s="50">
        <v>31</v>
      </c>
      <c r="B32" s="50">
        <v>0</v>
      </c>
      <c r="C32" s="50" t="s">
        <v>53</v>
      </c>
      <c r="D32" s="49" t="s">
        <v>147</v>
      </c>
    </row>
    <row r="33" spans="1:4" x14ac:dyDescent="0.15">
      <c r="A33" s="50">
        <v>32</v>
      </c>
      <c r="B33" s="50">
        <v>0</v>
      </c>
      <c r="C33" s="50" t="s">
        <v>53</v>
      </c>
      <c r="D33" s="49" t="s">
        <v>148</v>
      </c>
    </row>
    <row r="34" spans="1:4" x14ac:dyDescent="0.15">
      <c r="A34" s="50">
        <v>33</v>
      </c>
      <c r="B34" s="50">
        <v>0</v>
      </c>
      <c r="C34" s="50" t="s">
        <v>53</v>
      </c>
      <c r="D34" s="49" t="s">
        <v>149</v>
      </c>
    </row>
    <row r="35" spans="1:4" x14ac:dyDescent="0.15">
      <c r="A35" s="50">
        <v>34</v>
      </c>
      <c r="B35" s="50">
        <v>0</v>
      </c>
      <c r="C35" s="50" t="s">
        <v>53</v>
      </c>
      <c r="D35" s="49" t="s">
        <v>150</v>
      </c>
    </row>
    <row r="36" spans="1:4" x14ac:dyDescent="0.15">
      <c r="A36" s="50">
        <v>35</v>
      </c>
      <c r="B36" s="50">
        <v>0</v>
      </c>
      <c r="C36" s="50" t="s">
        <v>53</v>
      </c>
      <c r="D36" s="49" t="s">
        <v>151</v>
      </c>
    </row>
    <row r="37" spans="1:4" x14ac:dyDescent="0.15">
      <c r="A37" s="50">
        <v>36</v>
      </c>
      <c r="B37" s="50">
        <v>0</v>
      </c>
      <c r="C37" s="50" t="s">
        <v>53</v>
      </c>
      <c r="D37" s="49" t="s">
        <v>152</v>
      </c>
    </row>
    <row r="38" spans="1:4" x14ac:dyDescent="0.15">
      <c r="A38" s="50">
        <v>37</v>
      </c>
      <c r="B38" s="50">
        <v>0</v>
      </c>
      <c r="C38" s="50" t="s">
        <v>53</v>
      </c>
      <c r="D38" s="49" t="s">
        <v>153</v>
      </c>
    </row>
    <row r="39" spans="1:4" x14ac:dyDescent="0.15">
      <c r="A39" s="50">
        <v>38</v>
      </c>
      <c r="B39" s="50">
        <v>50000</v>
      </c>
      <c r="C39" s="50" t="s">
        <v>53</v>
      </c>
      <c r="D39" s="49" t="s">
        <v>18</v>
      </c>
    </row>
    <row r="40" spans="1:4" x14ac:dyDescent="0.15">
      <c r="A40" s="50">
        <v>39</v>
      </c>
      <c r="B40" s="50">
        <v>180000</v>
      </c>
      <c r="C40" s="50" t="s">
        <v>53</v>
      </c>
      <c r="D40" s="49" t="s">
        <v>19</v>
      </c>
    </row>
    <row r="41" spans="1:4" x14ac:dyDescent="0.15">
      <c r="A41" s="50">
        <v>40</v>
      </c>
      <c r="B41" s="50">
        <v>100000</v>
      </c>
      <c r="C41" s="50" t="s">
        <v>53</v>
      </c>
      <c r="D41" s="49" t="s">
        <v>20</v>
      </c>
    </row>
    <row r="42" spans="1:4" x14ac:dyDescent="0.15">
      <c r="A42" s="50">
        <v>41</v>
      </c>
      <c r="B42" s="50">
        <v>130000</v>
      </c>
      <c r="C42" s="50" t="s">
        <v>53</v>
      </c>
      <c r="D42" s="49" t="s">
        <v>154</v>
      </c>
    </row>
    <row r="43" spans="1:4" x14ac:dyDescent="0.15">
      <c r="A43" s="50">
        <v>42</v>
      </c>
      <c r="B43" s="50">
        <v>0</v>
      </c>
      <c r="C43" s="50" t="s">
        <v>53</v>
      </c>
      <c r="D43" s="49" t="s">
        <v>155</v>
      </c>
    </row>
    <row r="44" spans="1:4" x14ac:dyDescent="0.15">
      <c r="A44" s="50">
        <v>43</v>
      </c>
      <c r="B44" s="50">
        <v>10000</v>
      </c>
      <c r="C44" s="50" t="s">
        <v>53</v>
      </c>
      <c r="D44" s="49" t="s">
        <v>22</v>
      </c>
    </row>
    <row r="45" spans="1:4" x14ac:dyDescent="0.15">
      <c r="A45" s="50">
        <v>44</v>
      </c>
      <c r="B45" s="50">
        <v>100000</v>
      </c>
      <c r="C45" s="50" t="s">
        <v>53</v>
      </c>
      <c r="D45" s="49" t="s">
        <v>23</v>
      </c>
    </row>
    <row r="46" spans="1:4" x14ac:dyDescent="0.15">
      <c r="A46" s="50">
        <v>45</v>
      </c>
      <c r="B46" s="50">
        <v>220000</v>
      </c>
      <c r="C46" s="50" t="s">
        <v>53</v>
      </c>
      <c r="D46" s="49" t="s">
        <v>24</v>
      </c>
    </row>
    <row r="47" spans="1:4" x14ac:dyDescent="0.15">
      <c r="A47" s="50">
        <v>46</v>
      </c>
      <c r="B47" s="50">
        <v>10000</v>
      </c>
      <c r="C47" s="50" t="s">
        <v>53</v>
      </c>
      <c r="D47" s="49" t="s">
        <v>25</v>
      </c>
    </row>
    <row r="48" spans="1:4" x14ac:dyDescent="0.15">
      <c r="A48" s="50">
        <v>47</v>
      </c>
      <c r="B48" s="50">
        <v>50000</v>
      </c>
      <c r="C48" s="50" t="s">
        <v>53</v>
      </c>
      <c r="D48" s="49" t="s">
        <v>156</v>
      </c>
    </row>
    <row r="49" spans="1:4" x14ac:dyDescent="0.15">
      <c r="A49" s="50">
        <v>48</v>
      </c>
      <c r="B49" s="50">
        <v>10000</v>
      </c>
      <c r="C49" s="50" t="s">
        <v>53</v>
      </c>
      <c r="D49" s="49" t="s">
        <v>27</v>
      </c>
    </row>
    <row r="50" spans="1:4" x14ac:dyDescent="0.15">
      <c r="A50" s="50">
        <v>49</v>
      </c>
      <c r="B50" s="50">
        <v>10000</v>
      </c>
      <c r="C50" s="50" t="s">
        <v>53</v>
      </c>
      <c r="D50" s="49" t="s">
        <v>157</v>
      </c>
    </row>
    <row r="51" spans="1:4" x14ac:dyDescent="0.15">
      <c r="A51" s="50">
        <v>50</v>
      </c>
      <c r="B51" s="50">
        <v>2000000</v>
      </c>
      <c r="C51" s="50" t="s">
        <v>53</v>
      </c>
      <c r="D51" s="49" t="s">
        <v>165</v>
      </c>
    </row>
    <row r="52" spans="1:4" x14ac:dyDescent="0.15">
      <c r="A52" s="50">
        <v>51</v>
      </c>
      <c r="B52" s="50">
        <v>3</v>
      </c>
      <c r="C52" s="50" t="s">
        <v>53</v>
      </c>
      <c r="D52" s="49" t="s">
        <v>166</v>
      </c>
    </row>
    <row r="53" spans="1:4" x14ac:dyDescent="0.15">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x14ac:dyDescent="0.15"/>
  <cols>
    <col min="4" max="4" width="35.875" bestFit="1" customWidth="1"/>
  </cols>
  <sheetData>
    <row r="1" spans="1:4" x14ac:dyDescent="0.15">
      <c r="A1" s="50" t="s">
        <v>170</v>
      </c>
      <c r="B1" s="50" t="s">
        <v>50</v>
      </c>
      <c r="C1" s="50" t="s">
        <v>51</v>
      </c>
      <c r="D1" s="50" t="s">
        <v>52</v>
      </c>
    </row>
    <row r="2" spans="1:4" x14ac:dyDescent="0.15">
      <c r="A2" s="50">
        <v>1</v>
      </c>
      <c r="B2" s="50">
        <v>6</v>
      </c>
      <c r="C2" s="50" t="s">
        <v>53</v>
      </c>
      <c r="D2" s="50" t="s">
        <v>261</v>
      </c>
    </row>
    <row r="3" spans="1:4" x14ac:dyDescent="0.15">
      <c r="A3" s="50">
        <v>2</v>
      </c>
      <c r="B3" s="50">
        <v>8</v>
      </c>
      <c r="C3" s="50" t="s">
        <v>53</v>
      </c>
      <c r="D3" s="50" t="s">
        <v>262</v>
      </c>
    </row>
    <row r="4" spans="1:4" x14ac:dyDescent="0.15">
      <c r="A4" s="50">
        <v>3</v>
      </c>
      <c r="B4" s="50">
        <v>1000</v>
      </c>
      <c r="C4" s="50" t="s">
        <v>53</v>
      </c>
      <c r="D4" s="50" t="s">
        <v>263</v>
      </c>
    </row>
    <row r="5" spans="1:4" x14ac:dyDescent="0.15">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L46" sqref="L46:V49"/>
    </sheetView>
  </sheetViews>
  <sheetFormatPr defaultRowHeight="13.5" x14ac:dyDescent="0.15"/>
  <cols>
    <col min="1" max="1" width="10.5" bestFit="1" customWidth="1"/>
  </cols>
  <sheetData>
    <row r="1" spans="1:2" x14ac:dyDescent="0.15">
      <c r="A1" t="s">
        <v>583</v>
      </c>
    </row>
    <row r="2" spans="1:2" x14ac:dyDescent="0.15">
      <c r="A2" s="381">
        <v>43556</v>
      </c>
      <c r="B2" t="s">
        <v>584</v>
      </c>
    </row>
    <row r="3" spans="1:2" x14ac:dyDescent="0.15">
      <c r="A3" s="381">
        <v>43840</v>
      </c>
      <c r="B3" t="s">
        <v>585</v>
      </c>
    </row>
    <row r="4" spans="1:2" x14ac:dyDescent="0.15">
      <c r="A4" s="381">
        <v>44056</v>
      </c>
      <c r="B4" t="s">
        <v>586</v>
      </c>
    </row>
    <row r="5" spans="1:2" x14ac:dyDescent="0.15">
      <c r="A5" s="381">
        <v>44200</v>
      </c>
      <c r="B5" t="s">
        <v>587</v>
      </c>
    </row>
    <row r="6" spans="1:2" x14ac:dyDescent="0.15">
      <c r="A6" s="381">
        <v>44273</v>
      </c>
      <c r="B6" t="s">
        <v>619</v>
      </c>
    </row>
    <row r="7" spans="1:2" x14ac:dyDescent="0.15">
      <c r="A7" s="381">
        <v>44287</v>
      </c>
      <c r="B7" t="s">
        <v>641</v>
      </c>
    </row>
    <row r="8" spans="1:2" x14ac:dyDescent="0.15">
      <c r="A8" s="381">
        <v>44652</v>
      </c>
      <c r="B8" t="s">
        <v>653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海外居住者のための収入等申告書</vt:lpstr>
      <vt:lpstr>【経済基準の適格認定】記入例と注意事項</vt:lpstr>
      <vt:lpstr>【採用の申込み】記入例と注意事項</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【採用の申込み】記入例と注意事項!Print_Area</vt:lpstr>
      <vt:lpstr>海外居住者のための収入等申告書!Print_Area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Hikichi	Miyuki</cp:lastModifiedBy>
  <dcterms:created xsi:type="dcterms:W3CDTF">2006-09-16T00:00:00Z</dcterms:created>
  <dcterms:modified xsi:type="dcterms:W3CDTF">2022-09-06T02:43:23Z</dcterms:modified>
</cp:coreProperties>
</file>